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5990" yWindow="720" windowWidth="12465" windowHeight="12225" tabRatio="770" activeTab="1"/>
  </bookViews>
  <sheets>
    <sheet name="Uebersicht" sheetId="1" r:id="rId1"/>
    <sheet name="Jan" sheetId="2" r:id="rId2"/>
    <sheet name="Feb" sheetId="3" r:id="rId3"/>
    <sheet name="Mrz" sheetId="4" r:id="rId4"/>
    <sheet name="Apr" sheetId="5" r:id="rId5"/>
    <sheet name="Mai" sheetId="6" r:id="rId6"/>
    <sheet name="Jun" sheetId="7" r:id="rId7"/>
    <sheet name="Jul" sheetId="8" r:id="rId8"/>
    <sheet name="Aug" sheetId="9" r:id="rId9"/>
    <sheet name="Sep" sheetId="10" r:id="rId10"/>
    <sheet name="Okt" sheetId="11" r:id="rId11"/>
    <sheet name="Nov" sheetId="12" r:id="rId12"/>
    <sheet name="Dez" sheetId="13" r:id="rId13"/>
    <sheet name="X" sheetId="14" r:id="rId14"/>
  </sheets>
  <definedNames>
    <definedName name="_xlnm.Print_Area" localSheetId="4">Apr!$A$1:$T$54</definedName>
    <definedName name="_xlnm.Print_Area" localSheetId="8">Aug!$A$1:$T$54</definedName>
    <definedName name="_xlnm.Print_Area" localSheetId="12">Dez!$A$1:$T$54</definedName>
    <definedName name="_xlnm.Print_Area" localSheetId="2">Feb!$A$1:$T$54</definedName>
    <definedName name="_xlnm.Print_Area" localSheetId="1">Jan!$A$1:$T$54</definedName>
    <definedName name="_xlnm.Print_Area" localSheetId="7">Jul!$A$1:$T$54</definedName>
    <definedName name="_xlnm.Print_Area" localSheetId="6">Jun!$A$1:$T$54</definedName>
    <definedName name="_xlnm.Print_Area" localSheetId="5">Mai!$A$1:$T$55</definedName>
    <definedName name="_xlnm.Print_Area" localSheetId="3">Mrz!$A$1:$T$54</definedName>
    <definedName name="_xlnm.Print_Area" localSheetId="11">Nov!$A$1:$T$54</definedName>
    <definedName name="_xlnm.Print_Area" localSheetId="10">Okt!$A$1:$T$54</definedName>
    <definedName name="_xlnm.Print_Area" localSheetId="9">Sep!$A$1:$T$54</definedName>
    <definedName name="Excel_BuiltIn_Print_Area_1">Uebersicht!$A$1:$G$59</definedName>
    <definedName name="ÜBERTRAG">"$#REF!.$E$46"</definedName>
  </definedNames>
  <calcPr calcId="145621"/>
</workbook>
</file>

<file path=xl/calcChain.xml><?xml version="1.0" encoding="utf-8"?>
<calcChain xmlns="http://schemas.openxmlformats.org/spreadsheetml/2006/main">
  <c r="F39" i="2" l="1"/>
  <c r="F38" i="2"/>
  <c r="F32" i="2"/>
  <c r="F31" i="2"/>
  <c r="F25" i="2"/>
  <c r="F24" i="2"/>
  <c r="F18" i="2"/>
  <c r="F17" i="2"/>
  <c r="F11" i="2"/>
  <c r="F41" i="13"/>
  <c r="F40" i="13"/>
  <c r="F36" i="13"/>
  <c r="F35" i="13"/>
  <c r="F34" i="13"/>
  <c r="F33" i="13"/>
  <c r="F27" i="13"/>
  <c r="F26" i="13"/>
  <c r="F20" i="13"/>
  <c r="F19" i="13"/>
  <c r="F13" i="13"/>
  <c r="F12" i="13"/>
  <c r="F41" i="12"/>
  <c r="F36" i="12"/>
  <c r="F35" i="12"/>
  <c r="F29" i="12"/>
  <c r="F28" i="12"/>
  <c r="F22" i="12"/>
  <c r="F21" i="12"/>
  <c r="F15" i="12"/>
  <c r="F14" i="12"/>
  <c r="F41" i="11"/>
  <c r="F39" i="11"/>
  <c r="F38" i="11"/>
  <c r="F32" i="11"/>
  <c r="F31" i="11"/>
  <c r="F25" i="11"/>
  <c r="F24" i="11"/>
  <c r="F18" i="11"/>
  <c r="F17" i="11"/>
  <c r="F13" i="11"/>
  <c r="F11" i="11"/>
  <c r="F41" i="10"/>
  <c r="F40" i="10"/>
  <c r="F34" i="10"/>
  <c r="F33" i="10"/>
  <c r="F27" i="10"/>
  <c r="F26" i="10"/>
  <c r="F20" i="10"/>
  <c r="F19" i="10"/>
  <c r="F13" i="10"/>
  <c r="F12" i="10"/>
  <c r="F37" i="9"/>
  <c r="F36" i="9"/>
  <c r="F30" i="9"/>
  <c r="F29" i="9"/>
  <c r="F23" i="9"/>
  <c r="F22" i="9"/>
  <c r="F16" i="9"/>
  <c r="F15" i="9"/>
  <c r="F40" i="8"/>
  <c r="F39" i="8"/>
  <c r="F33" i="8"/>
  <c r="F32" i="8"/>
  <c r="F26" i="8"/>
  <c r="F25" i="8"/>
  <c r="F19" i="8"/>
  <c r="F18" i="8"/>
  <c r="F12" i="8"/>
  <c r="F11" i="8"/>
  <c r="F41" i="7"/>
  <c r="F35" i="7"/>
  <c r="F34" i="7"/>
  <c r="F28" i="7"/>
  <c r="F27" i="7"/>
  <c r="F21" i="7"/>
  <c r="F20" i="7"/>
  <c r="F15" i="7"/>
  <c r="F14" i="7"/>
  <c r="F13" i="7"/>
  <c r="F38" i="6"/>
  <c r="F37" i="6"/>
  <c r="F35" i="6"/>
  <c r="F31" i="6"/>
  <c r="F30" i="6"/>
  <c r="F24" i="6"/>
  <c r="F23" i="6"/>
  <c r="F17" i="6"/>
  <c r="F16" i="6"/>
  <c r="F11" i="6"/>
  <c r="F41" i="5"/>
  <c r="F40" i="5"/>
  <c r="F39" i="5"/>
  <c r="F33" i="5"/>
  <c r="F32" i="5"/>
  <c r="F27" i="5"/>
  <c r="F26" i="5"/>
  <c r="F25" i="5"/>
  <c r="F24" i="5"/>
  <c r="F19" i="5"/>
  <c r="F18" i="5"/>
  <c r="F12" i="5"/>
  <c r="F11" i="5"/>
  <c r="F14" i="4"/>
  <c r="F15" i="4"/>
  <c r="F21" i="4"/>
  <c r="F22" i="4"/>
  <c r="F28" i="4"/>
  <c r="F29" i="4"/>
  <c r="F35" i="4"/>
  <c r="F36" i="4"/>
  <c r="F28" i="3"/>
  <c r="F29" i="3"/>
  <c r="F35" i="3"/>
  <c r="F36" i="3"/>
  <c r="F39" i="3"/>
  <c r="F40" i="3"/>
  <c r="F41" i="3"/>
  <c r="F14" i="3"/>
  <c r="F15" i="3"/>
  <c r="F21" i="3"/>
  <c r="F22" i="3"/>
  <c r="N35" i="2" l="1"/>
  <c r="D40" i="3" l="1"/>
  <c r="N8" i="13" l="1"/>
  <c r="M8" i="13"/>
  <c r="S7" i="13" s="1"/>
  <c r="S43" i="13"/>
  <c r="S48" i="13" s="1"/>
  <c r="T41" i="13"/>
  <c r="T40" i="13"/>
  <c r="T39" i="13"/>
  <c r="T38" i="13"/>
  <c r="T37" i="13"/>
  <c r="T36" i="13"/>
  <c r="T35" i="13"/>
  <c r="T34" i="13"/>
  <c r="T33" i="13"/>
  <c r="T32" i="13"/>
  <c r="T31" i="13"/>
  <c r="T30" i="13"/>
  <c r="T29" i="13"/>
  <c r="T28" i="13"/>
  <c r="T27" i="13"/>
  <c r="T26" i="13"/>
  <c r="T25" i="13"/>
  <c r="T24" i="13"/>
  <c r="T23" i="13"/>
  <c r="T22" i="13"/>
  <c r="T21" i="13"/>
  <c r="T20" i="13"/>
  <c r="T19" i="13"/>
  <c r="T18" i="13"/>
  <c r="T17" i="13"/>
  <c r="T16" i="13"/>
  <c r="T15" i="13"/>
  <c r="T14" i="13"/>
  <c r="T13" i="13"/>
  <c r="T12" i="13"/>
  <c r="T11" i="13"/>
  <c r="T43" i="13" s="1"/>
  <c r="N8" i="12"/>
  <c r="M8" i="12"/>
  <c r="S43" i="12"/>
  <c r="S48" i="12" s="1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T17" i="12"/>
  <c r="T16" i="12"/>
  <c r="T15" i="12"/>
  <c r="T14" i="12"/>
  <c r="T13" i="12"/>
  <c r="T12" i="12"/>
  <c r="T11" i="12"/>
  <c r="T43" i="12" s="1"/>
  <c r="S8" i="12"/>
  <c r="T8" i="12" s="1"/>
  <c r="S7" i="12"/>
  <c r="T7" i="12" s="1"/>
  <c r="N8" i="11"/>
  <c r="M8" i="11"/>
  <c r="S7" i="11" s="1"/>
  <c r="S43" i="11"/>
  <c r="S48" i="11" s="1"/>
  <c r="T41" i="11"/>
  <c r="T40" i="11"/>
  <c r="T39" i="11"/>
  <c r="T38" i="11"/>
  <c r="T37" i="11"/>
  <c r="T36" i="11"/>
  <c r="T35" i="11"/>
  <c r="T34" i="11"/>
  <c r="T33" i="11"/>
  <c r="T32" i="11"/>
  <c r="T31" i="11"/>
  <c r="T30" i="11"/>
  <c r="T29" i="11"/>
  <c r="T28" i="11"/>
  <c r="T27" i="11"/>
  <c r="T26" i="11"/>
  <c r="T25" i="11"/>
  <c r="T24" i="11"/>
  <c r="T23" i="11"/>
  <c r="T22" i="11"/>
  <c r="T21" i="11"/>
  <c r="T20" i="11"/>
  <c r="T19" i="11"/>
  <c r="T18" i="11"/>
  <c r="T17" i="11"/>
  <c r="T16" i="11"/>
  <c r="T15" i="11"/>
  <c r="T14" i="11"/>
  <c r="T13" i="11"/>
  <c r="T12" i="11"/>
  <c r="T11" i="11"/>
  <c r="T43" i="11" s="1"/>
  <c r="N8" i="10"/>
  <c r="M8" i="10"/>
  <c r="S43" i="10"/>
  <c r="S48" i="10" s="1"/>
  <c r="T41" i="10"/>
  <c r="T40" i="10"/>
  <c r="T39" i="10"/>
  <c r="T38" i="10"/>
  <c r="T37" i="10"/>
  <c r="T36" i="10"/>
  <c r="T35" i="10"/>
  <c r="T34" i="10"/>
  <c r="T33" i="10"/>
  <c r="T32" i="10"/>
  <c r="T31" i="10"/>
  <c r="T30" i="10"/>
  <c r="T29" i="10"/>
  <c r="T28" i="10"/>
  <c r="T27" i="10"/>
  <c r="T26" i="10"/>
  <c r="T25" i="10"/>
  <c r="T24" i="10"/>
  <c r="T23" i="10"/>
  <c r="T22" i="10"/>
  <c r="T21" i="10"/>
  <c r="T20" i="10"/>
  <c r="T19" i="10"/>
  <c r="T18" i="10"/>
  <c r="T17" i="10"/>
  <c r="T16" i="10"/>
  <c r="T15" i="10"/>
  <c r="T14" i="10"/>
  <c r="T13" i="10"/>
  <c r="T12" i="10"/>
  <c r="T11" i="10"/>
  <c r="T43" i="10" s="1"/>
  <c r="S8" i="10"/>
  <c r="T8" i="10" s="1"/>
  <c r="S7" i="10"/>
  <c r="S46" i="10" s="1"/>
  <c r="T46" i="10" s="1"/>
  <c r="N8" i="9"/>
  <c r="M8" i="9"/>
  <c r="S7" i="9" s="1"/>
  <c r="S43" i="9"/>
  <c r="S48" i="9" s="1"/>
  <c r="T41" i="9"/>
  <c r="T40" i="9"/>
  <c r="T39" i="9"/>
  <c r="T38" i="9"/>
  <c r="T37" i="9"/>
  <c r="T36" i="9"/>
  <c r="T35" i="9"/>
  <c r="T34" i="9"/>
  <c r="T33" i="9"/>
  <c r="T32" i="9"/>
  <c r="T31" i="9"/>
  <c r="T30" i="9"/>
  <c r="T29" i="9"/>
  <c r="T28" i="9"/>
  <c r="T27" i="9"/>
  <c r="T26" i="9"/>
  <c r="T25" i="9"/>
  <c r="T24" i="9"/>
  <c r="T23" i="9"/>
  <c r="T22" i="9"/>
  <c r="T21" i="9"/>
  <c r="T20" i="9"/>
  <c r="T19" i="9"/>
  <c r="T18" i="9"/>
  <c r="T17" i="9"/>
  <c r="T16" i="9"/>
  <c r="T15" i="9"/>
  <c r="T14" i="9"/>
  <c r="T13" i="9"/>
  <c r="T12" i="9"/>
  <c r="T11" i="9"/>
  <c r="T43" i="9" s="1"/>
  <c r="N8" i="8"/>
  <c r="M8" i="8"/>
  <c r="S8" i="8" s="1"/>
  <c r="T8" i="8" s="1"/>
  <c r="S43" i="8"/>
  <c r="S48" i="8" s="1"/>
  <c r="T41" i="8"/>
  <c r="T40" i="8"/>
  <c r="T39" i="8"/>
  <c r="T38" i="8"/>
  <c r="T37" i="8"/>
  <c r="T36" i="8"/>
  <c r="T35" i="8"/>
  <c r="T34" i="8"/>
  <c r="T33" i="8"/>
  <c r="T32" i="8"/>
  <c r="T31" i="8"/>
  <c r="T30" i="8"/>
  <c r="T29" i="8"/>
  <c r="T28" i="8"/>
  <c r="T27" i="8"/>
  <c r="T26" i="8"/>
  <c r="T25" i="8"/>
  <c r="T24" i="8"/>
  <c r="T23" i="8"/>
  <c r="T22" i="8"/>
  <c r="T21" i="8"/>
  <c r="T20" i="8"/>
  <c r="T19" i="8"/>
  <c r="T18" i="8"/>
  <c r="T17" i="8"/>
  <c r="T16" i="8"/>
  <c r="T15" i="8"/>
  <c r="T14" i="8"/>
  <c r="T13" i="8"/>
  <c r="T12" i="8"/>
  <c r="T11" i="8"/>
  <c r="T43" i="8" s="1"/>
  <c r="N8" i="7"/>
  <c r="M8" i="7"/>
  <c r="S43" i="7"/>
  <c r="S48" i="7" s="1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43" i="7" s="1"/>
  <c r="S8" i="7"/>
  <c r="T8" i="7" s="1"/>
  <c r="S7" i="7"/>
  <c r="T7" i="7" s="1"/>
  <c r="N8" i="6"/>
  <c r="M8" i="6"/>
  <c r="S7" i="6" s="1"/>
  <c r="S43" i="6"/>
  <c r="S48" i="6" s="1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43" i="6" s="1"/>
  <c r="N8" i="5"/>
  <c r="M8" i="5"/>
  <c r="S43" i="5"/>
  <c r="S48" i="5" s="1"/>
  <c r="T41" i="5"/>
  <c r="T40" i="5"/>
  <c r="T39" i="5"/>
  <c r="T38" i="5"/>
  <c r="T37" i="5"/>
  <c r="T36" i="5"/>
  <c r="T35" i="5"/>
  <c r="T34" i="5"/>
  <c r="T33" i="5"/>
  <c r="T32" i="5"/>
  <c r="T31" i="5"/>
  <c r="T30" i="5"/>
  <c r="T29" i="5"/>
  <c r="T28" i="5"/>
  <c r="T27" i="5"/>
  <c r="T26" i="5"/>
  <c r="T25" i="5"/>
  <c r="T24" i="5"/>
  <c r="T23" i="5"/>
  <c r="T22" i="5"/>
  <c r="T21" i="5"/>
  <c r="T20" i="5"/>
  <c r="T19" i="5"/>
  <c r="T18" i="5"/>
  <c r="T17" i="5"/>
  <c r="T16" i="5"/>
  <c r="T15" i="5"/>
  <c r="T14" i="5"/>
  <c r="T13" i="5"/>
  <c r="T12" i="5"/>
  <c r="T11" i="5"/>
  <c r="T43" i="5" s="1"/>
  <c r="S8" i="5"/>
  <c r="T8" i="5" s="1"/>
  <c r="S7" i="5"/>
  <c r="T7" i="5" s="1"/>
  <c r="N8" i="4"/>
  <c r="M8" i="4"/>
  <c r="S7" i="4" s="1"/>
  <c r="T7" i="4" s="1"/>
  <c r="S43" i="4"/>
  <c r="S48" i="4" s="1"/>
  <c r="T41" i="4"/>
  <c r="T40" i="4"/>
  <c r="T39" i="4"/>
  <c r="T38" i="4"/>
  <c r="T37" i="4"/>
  <c r="T36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43" i="4" s="1"/>
  <c r="N8" i="3"/>
  <c r="M8" i="3"/>
  <c r="S7" i="3" s="1"/>
  <c r="T7" i="3" s="1"/>
  <c r="S43" i="3"/>
  <c r="S48" i="3" s="1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43" i="3" s="1"/>
  <c r="S48" i="2"/>
  <c r="N8" i="2"/>
  <c r="S43" i="2"/>
  <c r="T36" i="2"/>
  <c r="M8" i="2"/>
  <c r="S7" i="2" s="1"/>
  <c r="T7" i="2" s="1"/>
  <c r="T11" i="2"/>
  <c r="T12" i="2"/>
  <c r="T13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7" i="2"/>
  <c r="T38" i="2"/>
  <c r="T39" i="2"/>
  <c r="T40" i="2"/>
  <c r="T41" i="2"/>
  <c r="S8" i="6" l="1"/>
  <c r="T8" i="6" s="1"/>
  <c r="S8" i="3"/>
  <c r="T8" i="3" s="1"/>
  <c r="S8" i="4"/>
  <c r="T8" i="4" s="1"/>
  <c r="S7" i="8"/>
  <c r="T7" i="8" s="1"/>
  <c r="S8" i="11"/>
  <c r="T8" i="11" s="1"/>
  <c r="T7" i="13"/>
  <c r="S8" i="13"/>
  <c r="T8" i="13" s="1"/>
  <c r="S46" i="12"/>
  <c r="T46" i="12" s="1"/>
  <c r="S46" i="11"/>
  <c r="T46" i="11" s="1"/>
  <c r="T7" i="11"/>
  <c r="T7" i="10"/>
  <c r="T7" i="9"/>
  <c r="S8" i="9"/>
  <c r="T8" i="9" s="1"/>
  <c r="S46" i="8"/>
  <c r="T46" i="8" s="1"/>
  <c r="S46" i="7"/>
  <c r="T46" i="7" s="1"/>
  <c r="S46" i="5"/>
  <c r="T46" i="5" s="1"/>
  <c r="S46" i="3"/>
  <c r="T46" i="3" s="1"/>
  <c r="S8" i="2"/>
  <c r="T8" i="2" s="1"/>
  <c r="S46" i="6" l="1"/>
  <c r="T46" i="6" s="1"/>
  <c r="S46" i="4"/>
  <c r="T46" i="4" s="1"/>
  <c r="S46" i="13"/>
  <c r="T46" i="13" s="1"/>
  <c r="S46" i="9"/>
  <c r="T46" i="9" s="1"/>
  <c r="S46" i="2"/>
  <c r="T46" i="2" l="1"/>
  <c r="E7" i="1" l="1"/>
  <c r="E8" i="1"/>
  <c r="E9" i="1"/>
  <c r="F15" i="1"/>
  <c r="F13" i="1"/>
  <c r="F11" i="1"/>
  <c r="F8" i="1"/>
  <c r="F7" i="1"/>
  <c r="F9" i="1"/>
  <c r="F12" i="1"/>
  <c r="F14" i="1"/>
  <c r="F10" i="1"/>
  <c r="E13" i="1"/>
  <c r="N41" i="12"/>
  <c r="L41" i="12"/>
  <c r="N40" i="12"/>
  <c r="L40" i="12"/>
  <c r="N39" i="12"/>
  <c r="L39" i="12"/>
  <c r="N38" i="12"/>
  <c r="L38" i="12"/>
  <c r="N37" i="12"/>
  <c r="L37" i="12"/>
  <c r="N36" i="12"/>
  <c r="L36" i="12"/>
  <c r="N35" i="12"/>
  <c r="L35" i="12"/>
  <c r="N34" i="12"/>
  <c r="L34" i="12"/>
  <c r="N33" i="12"/>
  <c r="L33" i="12"/>
  <c r="N32" i="12"/>
  <c r="L32" i="12"/>
  <c r="N31" i="12"/>
  <c r="L31" i="12"/>
  <c r="N30" i="12"/>
  <c r="L30" i="12"/>
  <c r="N29" i="12"/>
  <c r="L29" i="12"/>
  <c r="N28" i="12"/>
  <c r="L28" i="12"/>
  <c r="N27" i="12"/>
  <c r="L27" i="12"/>
  <c r="N26" i="12"/>
  <c r="L26" i="12"/>
  <c r="N25" i="12"/>
  <c r="L25" i="12"/>
  <c r="N24" i="12"/>
  <c r="L24" i="12"/>
  <c r="N23" i="12"/>
  <c r="L23" i="12"/>
  <c r="N22" i="12"/>
  <c r="L22" i="12"/>
  <c r="N21" i="12"/>
  <c r="L21" i="12"/>
  <c r="N20" i="12"/>
  <c r="L20" i="12"/>
  <c r="N19" i="12"/>
  <c r="L19" i="12"/>
  <c r="N18" i="12"/>
  <c r="L18" i="12"/>
  <c r="N17" i="12"/>
  <c r="L17" i="12"/>
  <c r="N16" i="12"/>
  <c r="L16" i="12"/>
  <c r="N15" i="12"/>
  <c r="L15" i="12"/>
  <c r="N14" i="12"/>
  <c r="L14" i="12"/>
  <c r="N13" i="12"/>
  <c r="L13" i="12"/>
  <c r="N12" i="12"/>
  <c r="L12" i="12"/>
  <c r="N11" i="12"/>
  <c r="L11" i="12"/>
  <c r="L42" i="12" s="1"/>
  <c r="N41" i="11"/>
  <c r="L41" i="11"/>
  <c r="N40" i="11"/>
  <c r="L40" i="11"/>
  <c r="N39" i="11"/>
  <c r="L39" i="11"/>
  <c r="N38" i="11"/>
  <c r="L38" i="11"/>
  <c r="N37" i="11"/>
  <c r="L37" i="11"/>
  <c r="N36" i="11"/>
  <c r="L36" i="11"/>
  <c r="N35" i="11"/>
  <c r="L35" i="11"/>
  <c r="N34" i="11"/>
  <c r="L34" i="11"/>
  <c r="N33" i="11"/>
  <c r="L33" i="11"/>
  <c r="N32" i="11"/>
  <c r="L32" i="11"/>
  <c r="N31" i="11"/>
  <c r="L31" i="11"/>
  <c r="N30" i="11"/>
  <c r="L30" i="11"/>
  <c r="N29" i="11"/>
  <c r="L29" i="11"/>
  <c r="N28" i="11"/>
  <c r="L28" i="11"/>
  <c r="N27" i="11"/>
  <c r="L27" i="11"/>
  <c r="N26" i="11"/>
  <c r="L26" i="11"/>
  <c r="N25" i="11"/>
  <c r="L25" i="11"/>
  <c r="N24" i="11"/>
  <c r="L24" i="11"/>
  <c r="N23" i="11"/>
  <c r="L23" i="11"/>
  <c r="N22" i="11"/>
  <c r="L22" i="11"/>
  <c r="N21" i="11"/>
  <c r="L21" i="11"/>
  <c r="N20" i="11"/>
  <c r="L20" i="11"/>
  <c r="N19" i="11"/>
  <c r="L19" i="11"/>
  <c r="N18" i="11"/>
  <c r="L18" i="11"/>
  <c r="N17" i="11"/>
  <c r="L17" i="11"/>
  <c r="N16" i="11"/>
  <c r="L16" i="11"/>
  <c r="N15" i="11"/>
  <c r="L15" i="11"/>
  <c r="N14" i="11"/>
  <c r="L14" i="11"/>
  <c r="N13" i="11"/>
  <c r="L13" i="11"/>
  <c r="N12" i="11"/>
  <c r="L12" i="11"/>
  <c r="N11" i="11"/>
  <c r="L11" i="11"/>
  <c r="N41" i="10"/>
  <c r="L41" i="10"/>
  <c r="N40" i="10"/>
  <c r="L40" i="10"/>
  <c r="N39" i="10"/>
  <c r="L39" i="10"/>
  <c r="N38" i="10"/>
  <c r="L38" i="10"/>
  <c r="N37" i="10"/>
  <c r="L37" i="10"/>
  <c r="N36" i="10"/>
  <c r="L36" i="10"/>
  <c r="N35" i="10"/>
  <c r="L35" i="10"/>
  <c r="N34" i="10"/>
  <c r="L34" i="10"/>
  <c r="N33" i="10"/>
  <c r="L33" i="10"/>
  <c r="N32" i="10"/>
  <c r="L32" i="10"/>
  <c r="N31" i="10"/>
  <c r="L31" i="10"/>
  <c r="N30" i="10"/>
  <c r="L30" i="10"/>
  <c r="N29" i="10"/>
  <c r="L29" i="10"/>
  <c r="N28" i="10"/>
  <c r="L28" i="10"/>
  <c r="N27" i="10"/>
  <c r="L27" i="10"/>
  <c r="N26" i="10"/>
  <c r="L26" i="10"/>
  <c r="N25" i="10"/>
  <c r="L25" i="10"/>
  <c r="N24" i="10"/>
  <c r="L24" i="10"/>
  <c r="N23" i="10"/>
  <c r="L23" i="10"/>
  <c r="N22" i="10"/>
  <c r="L22" i="10"/>
  <c r="N21" i="10"/>
  <c r="L21" i="10"/>
  <c r="N20" i="10"/>
  <c r="L20" i="10"/>
  <c r="N19" i="10"/>
  <c r="L19" i="10"/>
  <c r="N18" i="10"/>
  <c r="L18" i="10"/>
  <c r="N17" i="10"/>
  <c r="L17" i="10"/>
  <c r="N16" i="10"/>
  <c r="L16" i="10"/>
  <c r="N15" i="10"/>
  <c r="L15" i="10"/>
  <c r="N14" i="10"/>
  <c r="L14" i="10"/>
  <c r="N13" i="10"/>
  <c r="L13" i="10"/>
  <c r="N12" i="10"/>
  <c r="L12" i="10"/>
  <c r="N11" i="10"/>
  <c r="L11" i="10"/>
  <c r="N41" i="9"/>
  <c r="L41" i="9"/>
  <c r="N40" i="9"/>
  <c r="L40" i="9"/>
  <c r="N39" i="9"/>
  <c r="L39" i="9"/>
  <c r="N38" i="9"/>
  <c r="L38" i="9"/>
  <c r="N37" i="9"/>
  <c r="L37" i="9"/>
  <c r="N36" i="9"/>
  <c r="L36" i="9"/>
  <c r="N35" i="9"/>
  <c r="L35" i="9"/>
  <c r="N34" i="9"/>
  <c r="L34" i="9"/>
  <c r="N33" i="9"/>
  <c r="L33" i="9"/>
  <c r="N32" i="9"/>
  <c r="L32" i="9"/>
  <c r="N31" i="9"/>
  <c r="L31" i="9"/>
  <c r="N30" i="9"/>
  <c r="L30" i="9"/>
  <c r="N29" i="9"/>
  <c r="L29" i="9"/>
  <c r="N28" i="9"/>
  <c r="L28" i="9"/>
  <c r="N27" i="9"/>
  <c r="L27" i="9"/>
  <c r="N26" i="9"/>
  <c r="L26" i="9"/>
  <c r="N25" i="9"/>
  <c r="L25" i="9"/>
  <c r="N24" i="9"/>
  <c r="L24" i="9"/>
  <c r="N23" i="9"/>
  <c r="L23" i="9"/>
  <c r="N22" i="9"/>
  <c r="L22" i="9"/>
  <c r="N21" i="9"/>
  <c r="L21" i="9"/>
  <c r="N20" i="9"/>
  <c r="L20" i="9"/>
  <c r="N19" i="9"/>
  <c r="L19" i="9"/>
  <c r="N18" i="9"/>
  <c r="L18" i="9"/>
  <c r="N17" i="9"/>
  <c r="L17" i="9"/>
  <c r="N16" i="9"/>
  <c r="L16" i="9"/>
  <c r="N15" i="9"/>
  <c r="L15" i="9"/>
  <c r="N14" i="9"/>
  <c r="L14" i="9"/>
  <c r="N13" i="9"/>
  <c r="L13" i="9"/>
  <c r="N12" i="9"/>
  <c r="L12" i="9"/>
  <c r="N11" i="9"/>
  <c r="L11" i="9"/>
  <c r="L42" i="9" s="1"/>
  <c r="N41" i="8"/>
  <c r="L41" i="8"/>
  <c r="N40" i="8"/>
  <c r="L40" i="8"/>
  <c r="N39" i="8"/>
  <c r="L39" i="8"/>
  <c r="N38" i="8"/>
  <c r="L38" i="8"/>
  <c r="N37" i="8"/>
  <c r="L37" i="8"/>
  <c r="N36" i="8"/>
  <c r="L36" i="8"/>
  <c r="N35" i="8"/>
  <c r="L35" i="8"/>
  <c r="N34" i="8"/>
  <c r="L34" i="8"/>
  <c r="N33" i="8"/>
  <c r="L33" i="8"/>
  <c r="N32" i="8"/>
  <c r="L32" i="8"/>
  <c r="N31" i="8"/>
  <c r="L31" i="8"/>
  <c r="N30" i="8"/>
  <c r="L30" i="8"/>
  <c r="N29" i="8"/>
  <c r="L29" i="8"/>
  <c r="N28" i="8"/>
  <c r="L28" i="8"/>
  <c r="N27" i="8"/>
  <c r="L27" i="8"/>
  <c r="N26" i="8"/>
  <c r="L26" i="8"/>
  <c r="N25" i="8"/>
  <c r="L25" i="8"/>
  <c r="N24" i="8"/>
  <c r="L24" i="8"/>
  <c r="N23" i="8"/>
  <c r="L23" i="8"/>
  <c r="N22" i="8"/>
  <c r="L22" i="8"/>
  <c r="N21" i="8"/>
  <c r="L21" i="8"/>
  <c r="N20" i="8"/>
  <c r="L20" i="8"/>
  <c r="N19" i="8"/>
  <c r="L19" i="8"/>
  <c r="N18" i="8"/>
  <c r="L18" i="8"/>
  <c r="N17" i="8"/>
  <c r="L17" i="8"/>
  <c r="N16" i="8"/>
  <c r="L16" i="8"/>
  <c r="N15" i="8"/>
  <c r="L15" i="8"/>
  <c r="N14" i="8"/>
  <c r="L14" i="8"/>
  <c r="N13" i="8"/>
  <c r="L13" i="8"/>
  <c r="N12" i="8"/>
  <c r="L12" i="8"/>
  <c r="N11" i="8"/>
  <c r="L11" i="8"/>
  <c r="N41" i="7"/>
  <c r="L41" i="7"/>
  <c r="N40" i="7"/>
  <c r="L40" i="7"/>
  <c r="N39" i="7"/>
  <c r="L39" i="7"/>
  <c r="N38" i="7"/>
  <c r="L38" i="7"/>
  <c r="N37" i="7"/>
  <c r="L37" i="7"/>
  <c r="N36" i="7"/>
  <c r="L36" i="7"/>
  <c r="N35" i="7"/>
  <c r="L35" i="7"/>
  <c r="N34" i="7"/>
  <c r="L34" i="7"/>
  <c r="N33" i="7"/>
  <c r="L33" i="7"/>
  <c r="N32" i="7"/>
  <c r="L32" i="7"/>
  <c r="N31" i="7"/>
  <c r="L31" i="7"/>
  <c r="N30" i="7"/>
  <c r="L30" i="7"/>
  <c r="N29" i="7"/>
  <c r="L29" i="7"/>
  <c r="N28" i="7"/>
  <c r="L28" i="7"/>
  <c r="N27" i="7"/>
  <c r="L27" i="7"/>
  <c r="N26" i="7"/>
  <c r="L26" i="7"/>
  <c r="N25" i="7"/>
  <c r="L25" i="7"/>
  <c r="N24" i="7"/>
  <c r="L24" i="7"/>
  <c r="N23" i="7"/>
  <c r="L23" i="7"/>
  <c r="N22" i="7"/>
  <c r="L22" i="7"/>
  <c r="N21" i="7"/>
  <c r="L21" i="7"/>
  <c r="N20" i="7"/>
  <c r="L20" i="7"/>
  <c r="N19" i="7"/>
  <c r="L19" i="7"/>
  <c r="N18" i="7"/>
  <c r="L18" i="7"/>
  <c r="N17" i="7"/>
  <c r="L17" i="7"/>
  <c r="N16" i="7"/>
  <c r="L16" i="7"/>
  <c r="N15" i="7"/>
  <c r="L15" i="7"/>
  <c r="N14" i="7"/>
  <c r="L14" i="7"/>
  <c r="N13" i="7"/>
  <c r="L13" i="7"/>
  <c r="N12" i="7"/>
  <c r="L12" i="7"/>
  <c r="L42" i="7" s="1"/>
  <c r="N11" i="7"/>
  <c r="L11" i="7"/>
  <c r="N41" i="6"/>
  <c r="L41" i="6"/>
  <c r="N40" i="6"/>
  <c r="L40" i="6"/>
  <c r="N39" i="6"/>
  <c r="L39" i="6"/>
  <c r="N38" i="6"/>
  <c r="L38" i="6"/>
  <c r="N37" i="6"/>
  <c r="L37" i="6"/>
  <c r="N36" i="6"/>
  <c r="L36" i="6"/>
  <c r="N35" i="6"/>
  <c r="L35" i="6"/>
  <c r="N34" i="6"/>
  <c r="L34" i="6"/>
  <c r="N33" i="6"/>
  <c r="L33" i="6"/>
  <c r="N32" i="6"/>
  <c r="L32" i="6"/>
  <c r="N31" i="6"/>
  <c r="L31" i="6"/>
  <c r="N30" i="6"/>
  <c r="L30" i="6"/>
  <c r="N29" i="6"/>
  <c r="L29" i="6"/>
  <c r="N28" i="6"/>
  <c r="L28" i="6"/>
  <c r="N27" i="6"/>
  <c r="L27" i="6"/>
  <c r="N26" i="6"/>
  <c r="L26" i="6"/>
  <c r="N25" i="6"/>
  <c r="L25" i="6"/>
  <c r="N24" i="6"/>
  <c r="L24" i="6"/>
  <c r="N23" i="6"/>
  <c r="L23" i="6"/>
  <c r="N22" i="6"/>
  <c r="L22" i="6"/>
  <c r="N21" i="6"/>
  <c r="L21" i="6"/>
  <c r="N20" i="6"/>
  <c r="L20" i="6"/>
  <c r="N19" i="6"/>
  <c r="L19" i="6"/>
  <c r="N18" i="6"/>
  <c r="L18" i="6"/>
  <c r="N17" i="6"/>
  <c r="L17" i="6"/>
  <c r="N16" i="6"/>
  <c r="L16" i="6"/>
  <c r="N15" i="6"/>
  <c r="L15" i="6"/>
  <c r="N14" i="6"/>
  <c r="L14" i="6"/>
  <c r="N13" i="6"/>
  <c r="L13" i="6"/>
  <c r="N12" i="6"/>
  <c r="L12" i="6"/>
  <c r="N11" i="6"/>
  <c r="L11" i="6"/>
  <c r="L42" i="6" s="1"/>
  <c r="N41" i="5"/>
  <c r="L41" i="5"/>
  <c r="N40" i="5"/>
  <c r="L40" i="5"/>
  <c r="N39" i="5"/>
  <c r="L39" i="5"/>
  <c r="N38" i="5"/>
  <c r="L38" i="5"/>
  <c r="N37" i="5"/>
  <c r="L37" i="5"/>
  <c r="N36" i="5"/>
  <c r="L36" i="5"/>
  <c r="N35" i="5"/>
  <c r="L35" i="5"/>
  <c r="N34" i="5"/>
  <c r="L34" i="5"/>
  <c r="N33" i="5"/>
  <c r="L33" i="5"/>
  <c r="N32" i="5"/>
  <c r="L32" i="5"/>
  <c r="N31" i="5"/>
  <c r="L31" i="5"/>
  <c r="N30" i="5"/>
  <c r="L30" i="5"/>
  <c r="N29" i="5"/>
  <c r="L29" i="5"/>
  <c r="N28" i="5"/>
  <c r="L28" i="5"/>
  <c r="N27" i="5"/>
  <c r="L27" i="5"/>
  <c r="N26" i="5"/>
  <c r="L26" i="5"/>
  <c r="N25" i="5"/>
  <c r="L25" i="5"/>
  <c r="N24" i="5"/>
  <c r="L24" i="5"/>
  <c r="N23" i="5"/>
  <c r="L23" i="5"/>
  <c r="N22" i="5"/>
  <c r="L22" i="5"/>
  <c r="N21" i="5"/>
  <c r="L21" i="5"/>
  <c r="N20" i="5"/>
  <c r="L20" i="5"/>
  <c r="N19" i="5"/>
  <c r="L19" i="5"/>
  <c r="N18" i="5"/>
  <c r="L18" i="5"/>
  <c r="N17" i="5"/>
  <c r="L17" i="5"/>
  <c r="N16" i="5"/>
  <c r="L16" i="5"/>
  <c r="N15" i="5"/>
  <c r="L15" i="5"/>
  <c r="N14" i="5"/>
  <c r="L14" i="5"/>
  <c r="N13" i="5"/>
  <c r="L13" i="5"/>
  <c r="N12" i="5"/>
  <c r="L12" i="5"/>
  <c r="N11" i="5"/>
  <c r="L11" i="5"/>
  <c r="N41" i="4"/>
  <c r="L41" i="4"/>
  <c r="N40" i="4"/>
  <c r="L40" i="4"/>
  <c r="N39" i="4"/>
  <c r="L39" i="4"/>
  <c r="N38" i="4"/>
  <c r="L38" i="4"/>
  <c r="N37" i="4"/>
  <c r="L37" i="4"/>
  <c r="N36" i="4"/>
  <c r="L36" i="4"/>
  <c r="N35" i="4"/>
  <c r="L35" i="4"/>
  <c r="N34" i="4"/>
  <c r="L34" i="4"/>
  <c r="N33" i="4"/>
  <c r="L33" i="4"/>
  <c r="N32" i="4"/>
  <c r="L32" i="4"/>
  <c r="N31" i="4"/>
  <c r="L31" i="4"/>
  <c r="N30" i="4"/>
  <c r="L30" i="4"/>
  <c r="N29" i="4"/>
  <c r="L29" i="4"/>
  <c r="N28" i="4"/>
  <c r="L28" i="4"/>
  <c r="N27" i="4"/>
  <c r="L27" i="4"/>
  <c r="N26" i="4"/>
  <c r="L26" i="4"/>
  <c r="N25" i="4"/>
  <c r="L25" i="4"/>
  <c r="N24" i="4"/>
  <c r="L24" i="4"/>
  <c r="N23" i="4"/>
  <c r="L23" i="4"/>
  <c r="N22" i="4"/>
  <c r="L22" i="4"/>
  <c r="N21" i="4"/>
  <c r="L21" i="4"/>
  <c r="N20" i="4"/>
  <c r="L20" i="4"/>
  <c r="N19" i="4"/>
  <c r="L19" i="4"/>
  <c r="N18" i="4"/>
  <c r="L18" i="4"/>
  <c r="N17" i="4"/>
  <c r="L17" i="4"/>
  <c r="N16" i="4"/>
  <c r="L16" i="4"/>
  <c r="N15" i="4"/>
  <c r="L15" i="4"/>
  <c r="N14" i="4"/>
  <c r="L14" i="4"/>
  <c r="N13" i="4"/>
  <c r="L13" i="4"/>
  <c r="N12" i="4"/>
  <c r="L12" i="4"/>
  <c r="N11" i="4"/>
  <c r="L11" i="4"/>
  <c r="L42" i="4" s="1"/>
  <c r="M43" i="4" s="1"/>
  <c r="N41" i="13"/>
  <c r="L41" i="13"/>
  <c r="N40" i="13"/>
  <c r="L40" i="13"/>
  <c r="N39" i="13"/>
  <c r="L39" i="13"/>
  <c r="N38" i="13"/>
  <c r="L38" i="13"/>
  <c r="N37" i="13"/>
  <c r="L37" i="13"/>
  <c r="N36" i="13"/>
  <c r="L36" i="13"/>
  <c r="N35" i="13"/>
  <c r="L35" i="13"/>
  <c r="N34" i="13"/>
  <c r="L34" i="13"/>
  <c r="N33" i="13"/>
  <c r="L33" i="13"/>
  <c r="N32" i="13"/>
  <c r="L32" i="13"/>
  <c r="N31" i="13"/>
  <c r="L31" i="13"/>
  <c r="N30" i="13"/>
  <c r="L30" i="13"/>
  <c r="N29" i="13"/>
  <c r="L29" i="13"/>
  <c r="N28" i="13"/>
  <c r="L28" i="13"/>
  <c r="N27" i="13"/>
  <c r="L27" i="13"/>
  <c r="N26" i="13"/>
  <c r="L26" i="13"/>
  <c r="N25" i="13"/>
  <c r="L25" i="13"/>
  <c r="N24" i="13"/>
  <c r="L24" i="13"/>
  <c r="N23" i="13"/>
  <c r="L23" i="13"/>
  <c r="N22" i="13"/>
  <c r="L22" i="13"/>
  <c r="N21" i="13"/>
  <c r="L21" i="13"/>
  <c r="N20" i="13"/>
  <c r="L20" i="13"/>
  <c r="N19" i="13"/>
  <c r="L19" i="13"/>
  <c r="N18" i="13"/>
  <c r="L18" i="13"/>
  <c r="N17" i="13"/>
  <c r="L17" i="13"/>
  <c r="N16" i="13"/>
  <c r="L16" i="13"/>
  <c r="N15" i="13"/>
  <c r="L15" i="13"/>
  <c r="N14" i="13"/>
  <c r="L14" i="13"/>
  <c r="N13" i="13"/>
  <c r="L13" i="13"/>
  <c r="N12" i="13"/>
  <c r="L12" i="13"/>
  <c r="N11" i="13"/>
  <c r="L11" i="13"/>
  <c r="N41" i="3"/>
  <c r="L41" i="3"/>
  <c r="N40" i="3"/>
  <c r="L40" i="3"/>
  <c r="N39" i="3"/>
  <c r="L39" i="3"/>
  <c r="N38" i="3"/>
  <c r="L38" i="3"/>
  <c r="N37" i="3"/>
  <c r="L37" i="3"/>
  <c r="N36" i="3"/>
  <c r="L36" i="3"/>
  <c r="N35" i="3"/>
  <c r="L35" i="3"/>
  <c r="N34" i="3"/>
  <c r="L34" i="3"/>
  <c r="N33" i="3"/>
  <c r="L33" i="3"/>
  <c r="N32" i="3"/>
  <c r="L32" i="3"/>
  <c r="N31" i="3"/>
  <c r="L31" i="3"/>
  <c r="N30" i="3"/>
  <c r="L30" i="3"/>
  <c r="N29" i="3"/>
  <c r="L29" i="3"/>
  <c r="N28" i="3"/>
  <c r="L28" i="3"/>
  <c r="N27" i="3"/>
  <c r="L27" i="3"/>
  <c r="N26" i="3"/>
  <c r="L26" i="3"/>
  <c r="N25" i="3"/>
  <c r="L25" i="3"/>
  <c r="N24" i="3"/>
  <c r="L24" i="3"/>
  <c r="N23" i="3"/>
  <c r="L23" i="3"/>
  <c r="N22" i="3"/>
  <c r="L22" i="3"/>
  <c r="N21" i="3"/>
  <c r="L21" i="3"/>
  <c r="N20" i="3"/>
  <c r="L20" i="3"/>
  <c r="N19" i="3"/>
  <c r="L19" i="3"/>
  <c r="N18" i="3"/>
  <c r="L18" i="3"/>
  <c r="N17" i="3"/>
  <c r="L17" i="3"/>
  <c r="N16" i="3"/>
  <c r="L16" i="3"/>
  <c r="N15" i="3"/>
  <c r="L15" i="3"/>
  <c r="N14" i="3"/>
  <c r="L14" i="3"/>
  <c r="N13" i="3"/>
  <c r="L13" i="3"/>
  <c r="N12" i="3"/>
  <c r="L12" i="3"/>
  <c r="N11" i="3"/>
  <c r="L11" i="3"/>
  <c r="L42" i="3" s="1"/>
  <c r="AJ9" i="1" l="1"/>
  <c r="AJ6" i="1"/>
  <c r="AJ23" i="1"/>
  <c r="AJ15" i="1"/>
  <c r="AJ27" i="1"/>
  <c r="AJ11" i="1"/>
  <c r="AJ7" i="1"/>
  <c r="AJ19" i="1"/>
  <c r="AL9" i="1"/>
  <c r="AK10" i="1"/>
  <c r="AJ26" i="1"/>
  <c r="AJ18" i="1"/>
  <c r="AJ10" i="1"/>
  <c r="AJ22" i="1"/>
  <c r="AJ14" i="1"/>
  <c r="AK9" i="1"/>
  <c r="AK23" i="1"/>
  <c r="AK15" i="1"/>
  <c r="AK7" i="1"/>
  <c r="AL23" i="1"/>
  <c r="AL15" i="1"/>
  <c r="AL7" i="1"/>
  <c r="AK26" i="1"/>
  <c r="AK14" i="1"/>
  <c r="AK6" i="1"/>
  <c r="AL22" i="1"/>
  <c r="AL14" i="1"/>
  <c r="AJ28" i="1"/>
  <c r="AJ24" i="1"/>
  <c r="AJ20" i="1"/>
  <c r="AJ16" i="1"/>
  <c r="AJ12" i="1"/>
  <c r="AJ8" i="1"/>
  <c r="AK28" i="1"/>
  <c r="AK24" i="1"/>
  <c r="AK20" i="1"/>
  <c r="AK16" i="1"/>
  <c r="AK12" i="1"/>
  <c r="AK8" i="1"/>
  <c r="AL28" i="1"/>
  <c r="AL24" i="1"/>
  <c r="AL20" i="1"/>
  <c r="AL16" i="1"/>
  <c r="AL12" i="1"/>
  <c r="AL8" i="1"/>
  <c r="AK27" i="1"/>
  <c r="AK19" i="1"/>
  <c r="AK11" i="1"/>
  <c r="AL27" i="1"/>
  <c r="AL19" i="1"/>
  <c r="AL11" i="1"/>
  <c r="AK22" i="1"/>
  <c r="AK18" i="1"/>
  <c r="AL26" i="1"/>
  <c r="AL18" i="1"/>
  <c r="AL10" i="1"/>
  <c r="AL6" i="1"/>
  <c r="AM6" i="1"/>
  <c r="AJ5" i="1"/>
  <c r="AJ25" i="1"/>
  <c r="AJ21" i="1"/>
  <c r="AJ17" i="1"/>
  <c r="AJ13" i="1"/>
  <c r="AK5" i="1"/>
  <c r="AK25" i="1"/>
  <c r="AK21" i="1"/>
  <c r="AK17" i="1"/>
  <c r="AK13" i="1"/>
  <c r="AL5" i="1"/>
  <c r="AL25" i="1"/>
  <c r="AL21" i="1"/>
  <c r="AL17" i="1"/>
  <c r="AL13" i="1"/>
  <c r="AM5" i="1"/>
  <c r="AM25" i="1"/>
  <c r="AM21" i="1"/>
  <c r="AM17" i="1"/>
  <c r="AM13" i="1"/>
  <c r="AM9" i="1"/>
  <c r="AM28" i="1"/>
  <c r="AM24" i="1"/>
  <c r="AM20" i="1"/>
  <c r="AM16" i="1"/>
  <c r="AM12" i="1"/>
  <c r="AM8" i="1"/>
  <c r="AM27" i="1"/>
  <c r="AM23" i="1"/>
  <c r="AM19" i="1"/>
  <c r="AM15" i="1"/>
  <c r="AM11" i="1"/>
  <c r="AM7" i="1"/>
  <c r="AM26" i="1"/>
  <c r="AM22" i="1"/>
  <c r="AM18" i="1"/>
  <c r="AM14" i="1"/>
  <c r="AM10" i="1"/>
  <c r="M43" i="12"/>
  <c r="L42" i="11"/>
  <c r="L42" i="10"/>
  <c r="M43" i="9"/>
  <c r="L42" i="8"/>
  <c r="M43" i="7"/>
  <c r="M43" i="6"/>
  <c r="L42" i="5"/>
  <c r="L42" i="13"/>
  <c r="M43" i="3"/>
  <c r="I43" i="13"/>
  <c r="J43" i="13" s="1"/>
  <c r="I43" i="12"/>
  <c r="J43" i="12" s="1"/>
  <c r="I43" i="7"/>
  <c r="J43" i="7" s="1"/>
  <c r="I43" i="6"/>
  <c r="J43" i="6" s="1"/>
  <c r="I43" i="5"/>
  <c r="J43" i="5" s="1"/>
  <c r="I43" i="4"/>
  <c r="J43" i="4" s="1"/>
  <c r="I43" i="3"/>
  <c r="J43" i="3" s="1"/>
  <c r="E11" i="1"/>
  <c r="E10" i="1"/>
  <c r="E12" i="1"/>
  <c r="E14" i="1"/>
  <c r="E15" i="1"/>
  <c r="AR8" i="1"/>
  <c r="AR9" i="1"/>
  <c r="AR10" i="1"/>
  <c r="AR11" i="1"/>
  <c r="AR12" i="1"/>
  <c r="AR7" i="1"/>
  <c r="AR6" i="1"/>
  <c r="AR5" i="1"/>
  <c r="M43" i="11" l="1"/>
  <c r="M43" i="10"/>
  <c r="M43" i="8"/>
  <c r="M43" i="5"/>
  <c r="M43" i="13"/>
  <c r="I43" i="11"/>
  <c r="J43" i="11" s="1"/>
  <c r="I43" i="10"/>
  <c r="J43" i="10" s="1"/>
  <c r="I43" i="9"/>
  <c r="J43" i="9" s="1"/>
  <c r="I43" i="8"/>
  <c r="J43" i="8" s="1"/>
  <c r="AP14" i="1" l="1"/>
  <c r="AP18" i="1"/>
  <c r="AP19" i="1"/>
  <c r="AP25" i="1"/>
  <c r="AP10" i="1"/>
  <c r="AY5" i="1" s="1"/>
  <c r="AP8" i="1"/>
  <c r="AP28" i="1"/>
  <c r="AP5" i="1"/>
  <c r="AX3" i="1" s="1"/>
  <c r="BF3" i="1" l="1"/>
  <c r="BD3" i="1"/>
  <c r="BE3" i="1"/>
  <c r="BC3" i="1"/>
  <c r="BG3" i="1"/>
  <c r="L2" i="2"/>
  <c r="L3" i="4"/>
  <c r="AP9" i="1"/>
  <c r="K7" i="4" s="1"/>
  <c r="AP21" i="1"/>
  <c r="AX11" i="1" s="1"/>
  <c r="AP22" i="1"/>
  <c r="AY11" i="1" s="1"/>
  <c r="AP15" i="1"/>
  <c r="AX8" i="1" s="1"/>
  <c r="AY4" i="1"/>
  <c r="AY9" i="1"/>
  <c r="AY14" i="1"/>
  <c r="AY7" i="1"/>
  <c r="AX13" i="1"/>
  <c r="L2" i="12" s="1"/>
  <c r="K7" i="12"/>
  <c r="AX10" i="1"/>
  <c r="K7" i="9"/>
  <c r="AX5" i="1"/>
  <c r="AP20" i="1"/>
  <c r="AP23" i="1"/>
  <c r="AP11" i="1"/>
  <c r="AP27" i="1"/>
  <c r="AP24" i="1"/>
  <c r="AP12" i="1"/>
  <c r="AY6" i="1" s="1"/>
  <c r="AP7" i="1"/>
  <c r="AP16" i="1"/>
  <c r="AP17" i="1"/>
  <c r="K7" i="8" s="1"/>
  <c r="AP13" i="1"/>
  <c r="AP6" i="1"/>
  <c r="AP26" i="1"/>
  <c r="BJ11" i="1" l="1"/>
  <c r="BL11" i="1"/>
  <c r="BH11" i="1"/>
  <c r="BI11" i="1"/>
  <c r="BK11" i="1"/>
  <c r="BB3" i="1"/>
  <c r="I15" i="12"/>
  <c r="I19" i="12"/>
  <c r="I23" i="12"/>
  <c r="I27" i="12"/>
  <c r="I31" i="12"/>
  <c r="I35" i="12"/>
  <c r="I39" i="12"/>
  <c r="I12" i="12"/>
  <c r="I16" i="12"/>
  <c r="I20" i="12"/>
  <c r="I24" i="12"/>
  <c r="I28" i="12"/>
  <c r="I32" i="12"/>
  <c r="I36" i="12"/>
  <c r="I40" i="12"/>
  <c r="I17" i="12"/>
  <c r="I25" i="12"/>
  <c r="I33" i="12"/>
  <c r="I41" i="12"/>
  <c r="I18" i="12"/>
  <c r="I26" i="12"/>
  <c r="I34" i="12"/>
  <c r="I11" i="12"/>
  <c r="I13" i="12"/>
  <c r="I21" i="12"/>
  <c r="I37" i="12"/>
  <c r="I22" i="12"/>
  <c r="I38" i="12"/>
  <c r="I29" i="12"/>
  <c r="I30" i="12"/>
  <c r="I14" i="12"/>
  <c r="I13" i="9"/>
  <c r="I17" i="9"/>
  <c r="I21" i="9"/>
  <c r="I25" i="9"/>
  <c r="I14" i="9"/>
  <c r="I18" i="9"/>
  <c r="I22" i="9"/>
  <c r="I26" i="9"/>
  <c r="I30" i="9"/>
  <c r="I34" i="9"/>
  <c r="I38" i="9"/>
  <c r="I11" i="9"/>
  <c r="I15" i="9"/>
  <c r="I23" i="9"/>
  <c r="I29" i="9"/>
  <c r="I35" i="9"/>
  <c r="I40" i="9"/>
  <c r="I16" i="9"/>
  <c r="I24" i="9"/>
  <c r="I31" i="9"/>
  <c r="I36" i="9"/>
  <c r="I41" i="9"/>
  <c r="I20" i="9"/>
  <c r="I33" i="9"/>
  <c r="I32" i="9"/>
  <c r="I27" i="9"/>
  <c r="I37" i="9"/>
  <c r="I12" i="9"/>
  <c r="I28" i="9"/>
  <c r="I39" i="9"/>
  <c r="I19" i="9"/>
  <c r="K8" i="8"/>
  <c r="L3" i="6"/>
  <c r="L3" i="5"/>
  <c r="L3" i="13"/>
  <c r="L3" i="10"/>
  <c r="L3" i="8"/>
  <c r="L3" i="3"/>
  <c r="L2" i="7"/>
  <c r="L2" i="9"/>
  <c r="L2" i="10"/>
  <c r="L2" i="4"/>
  <c r="K7" i="10"/>
  <c r="K7" i="7"/>
  <c r="AY8" i="1"/>
  <c r="AX14" i="1"/>
  <c r="L2" i="13" s="1"/>
  <c r="K7" i="13"/>
  <c r="AX9" i="1"/>
  <c r="AY12" i="1"/>
  <c r="AY10" i="1"/>
  <c r="K8" i="9"/>
  <c r="X12" i="9" s="1"/>
  <c r="AY13" i="1"/>
  <c r="K8" i="12"/>
  <c r="L8" i="12" s="1"/>
  <c r="F31" i="12" s="1"/>
  <c r="AX4" i="1"/>
  <c r="K7" i="3"/>
  <c r="AX6" i="1"/>
  <c r="BI6" i="1" s="1"/>
  <c r="K7" i="5"/>
  <c r="AX7" i="1"/>
  <c r="BH7" i="1" s="1"/>
  <c r="K7" i="6"/>
  <c r="AX12" i="1"/>
  <c r="K7" i="11"/>
  <c r="K8" i="4"/>
  <c r="AY3" i="1"/>
  <c r="BL7" i="1" l="1"/>
  <c r="BK6" i="1"/>
  <c r="BL6" i="1"/>
  <c r="BH6" i="1"/>
  <c r="BI7" i="1"/>
  <c r="BJ7" i="1"/>
  <c r="BJ6" i="1"/>
  <c r="BK7" i="1"/>
  <c r="BH14" i="1"/>
  <c r="BI14" i="1"/>
  <c r="BJ3" i="1"/>
  <c r="BL3" i="1"/>
  <c r="BG4" i="1" s="1"/>
  <c r="BH3" i="1"/>
  <c r="BK3" i="1"/>
  <c r="BI3" i="1"/>
  <c r="BF4" i="1" s="1"/>
  <c r="F18" i="12"/>
  <c r="P18" i="12" s="1"/>
  <c r="M18" i="12" s="1"/>
  <c r="F26" i="12"/>
  <c r="F40" i="12"/>
  <c r="P40" i="12" s="1"/>
  <c r="M40" i="12" s="1"/>
  <c r="F25" i="12"/>
  <c r="P25" i="12" s="1"/>
  <c r="M25" i="12" s="1"/>
  <c r="F19" i="12"/>
  <c r="P19" i="12" s="1"/>
  <c r="M19" i="12" s="1"/>
  <c r="F39" i="12"/>
  <c r="BC4" i="1"/>
  <c r="BK10" i="1"/>
  <c r="BI10" i="1"/>
  <c r="BL10" i="1"/>
  <c r="BJ10" i="1"/>
  <c r="BH10" i="1"/>
  <c r="BJ14" i="1"/>
  <c r="F24" i="12"/>
  <c r="P24" i="12" s="1"/>
  <c r="M24" i="12" s="1"/>
  <c r="F32" i="12"/>
  <c r="P32" i="12" s="1"/>
  <c r="M32" i="12" s="1"/>
  <c r="F16" i="12"/>
  <c r="P16" i="12" s="1"/>
  <c r="M16" i="12" s="1"/>
  <c r="F33" i="12"/>
  <c r="P33" i="12" s="1"/>
  <c r="M33" i="12" s="1"/>
  <c r="F23" i="12"/>
  <c r="P23" i="12" s="1"/>
  <c r="M23" i="12" s="1"/>
  <c r="BI12" i="1"/>
  <c r="BK12" i="1"/>
  <c r="BL12" i="1"/>
  <c r="BJ12" i="1"/>
  <c r="BH12" i="1"/>
  <c r="BI8" i="1"/>
  <c r="BK8" i="1"/>
  <c r="BH8" i="1"/>
  <c r="BL8" i="1"/>
  <c r="BJ8" i="1"/>
  <c r="F30" i="12"/>
  <c r="P30" i="12" s="1"/>
  <c r="M30" i="12" s="1"/>
  <c r="F38" i="12"/>
  <c r="P38" i="12" s="1"/>
  <c r="M38" i="12" s="1"/>
  <c r="F13" i="12"/>
  <c r="P13" i="12" s="1"/>
  <c r="M13" i="12" s="1"/>
  <c r="F37" i="12"/>
  <c r="P37" i="12" s="1"/>
  <c r="M37" i="12" s="1"/>
  <c r="F27" i="12"/>
  <c r="P27" i="12" s="1"/>
  <c r="M27" i="12" s="1"/>
  <c r="BL13" i="1"/>
  <c r="BH13" i="1"/>
  <c r="BJ13" i="1"/>
  <c r="BK13" i="1"/>
  <c r="BI13" i="1"/>
  <c r="BL14" i="1"/>
  <c r="BK14" i="1"/>
  <c r="F12" i="12"/>
  <c r="P12" i="12" s="1"/>
  <c r="M12" i="12" s="1"/>
  <c r="F20" i="12"/>
  <c r="F34" i="12"/>
  <c r="P34" i="12" s="1"/>
  <c r="M34" i="12" s="1"/>
  <c r="F17" i="12"/>
  <c r="P17" i="12" s="1"/>
  <c r="M17" i="12" s="1"/>
  <c r="F11" i="12"/>
  <c r="P11" i="12" s="1"/>
  <c r="M11" i="12" s="1"/>
  <c r="P20" i="12"/>
  <c r="M20" i="12" s="1"/>
  <c r="P31" i="12"/>
  <c r="M31" i="12" s="1"/>
  <c r="P26" i="12"/>
  <c r="M26" i="12" s="1"/>
  <c r="I12" i="13"/>
  <c r="I16" i="13"/>
  <c r="I20" i="13"/>
  <c r="I24" i="13"/>
  <c r="I28" i="13"/>
  <c r="I32" i="13"/>
  <c r="I36" i="13"/>
  <c r="I40" i="13"/>
  <c r="I13" i="13"/>
  <c r="I17" i="13"/>
  <c r="I21" i="13"/>
  <c r="I25" i="13"/>
  <c r="I29" i="13"/>
  <c r="I33" i="13"/>
  <c r="I37" i="13"/>
  <c r="I41" i="13"/>
  <c r="I14" i="13"/>
  <c r="I22" i="13"/>
  <c r="I30" i="13"/>
  <c r="I38" i="13"/>
  <c r="I15" i="13"/>
  <c r="I23" i="13"/>
  <c r="I31" i="13"/>
  <c r="I39" i="13"/>
  <c r="I18" i="13"/>
  <c r="I26" i="13"/>
  <c r="I34" i="13"/>
  <c r="I11" i="13"/>
  <c r="I19" i="13"/>
  <c r="I27" i="13"/>
  <c r="I35" i="13"/>
  <c r="I15" i="10"/>
  <c r="I19" i="10"/>
  <c r="I23" i="10"/>
  <c r="I27" i="10"/>
  <c r="I31" i="10"/>
  <c r="I35" i="10"/>
  <c r="I39" i="10"/>
  <c r="I12" i="10"/>
  <c r="I16" i="10"/>
  <c r="I20" i="10"/>
  <c r="I24" i="10"/>
  <c r="I28" i="10"/>
  <c r="I32" i="10"/>
  <c r="I36" i="10"/>
  <c r="I40" i="10"/>
  <c r="I13" i="10"/>
  <c r="I21" i="10"/>
  <c r="I29" i="10"/>
  <c r="I37" i="10"/>
  <c r="I14" i="10"/>
  <c r="I22" i="10"/>
  <c r="I30" i="10"/>
  <c r="I38" i="10"/>
  <c r="I17" i="10"/>
  <c r="I18" i="10"/>
  <c r="I34" i="10"/>
  <c r="I25" i="10"/>
  <c r="I41" i="10"/>
  <c r="I26" i="10"/>
  <c r="I11" i="10"/>
  <c r="I33" i="10"/>
  <c r="I13" i="11"/>
  <c r="I17" i="11"/>
  <c r="I21" i="11"/>
  <c r="I25" i="11"/>
  <c r="I29" i="11"/>
  <c r="I33" i="11"/>
  <c r="I37" i="11"/>
  <c r="I41" i="11"/>
  <c r="I14" i="11"/>
  <c r="I18" i="11"/>
  <c r="I22" i="11"/>
  <c r="I26" i="11"/>
  <c r="I30" i="11"/>
  <c r="I34" i="11"/>
  <c r="I38" i="11"/>
  <c r="I11" i="11"/>
  <c r="I19" i="11"/>
  <c r="I27" i="11"/>
  <c r="I35" i="11"/>
  <c r="I12" i="11"/>
  <c r="I20" i="11"/>
  <c r="I28" i="11"/>
  <c r="I36" i="11"/>
  <c r="I15" i="11"/>
  <c r="I23" i="11"/>
  <c r="I31" i="11"/>
  <c r="I39" i="11"/>
  <c r="I16" i="11"/>
  <c r="I24" i="11"/>
  <c r="I32" i="11"/>
  <c r="I40" i="11"/>
  <c r="P39" i="12"/>
  <c r="M39" i="12" s="1"/>
  <c r="P36" i="12"/>
  <c r="M36" i="12" s="1"/>
  <c r="P29" i="12"/>
  <c r="M29" i="12" s="1"/>
  <c r="P22" i="12"/>
  <c r="M22" i="12" s="1"/>
  <c r="P35" i="12"/>
  <c r="M35" i="12" s="1"/>
  <c r="P28" i="12"/>
  <c r="M28" i="12" s="1"/>
  <c r="P41" i="12"/>
  <c r="M41" i="12" s="1"/>
  <c r="P15" i="12"/>
  <c r="M15" i="12" s="1"/>
  <c r="P21" i="12"/>
  <c r="M21" i="12" s="1"/>
  <c r="P14" i="12"/>
  <c r="M14" i="12" s="1"/>
  <c r="T7" i="6"/>
  <c r="X13" i="12"/>
  <c r="X16" i="12"/>
  <c r="X15" i="12"/>
  <c r="AU7" i="1"/>
  <c r="AU11" i="1"/>
  <c r="AU16" i="1"/>
  <c r="AU20" i="1"/>
  <c r="AU4" i="1"/>
  <c r="AU8" i="1"/>
  <c r="AU12" i="1"/>
  <c r="AU17" i="1"/>
  <c r="AU21" i="1"/>
  <c r="AU5" i="1"/>
  <c r="AU9" i="1"/>
  <c r="AU14" i="1"/>
  <c r="AU18" i="1"/>
  <c r="AU22" i="1"/>
  <c r="AU6" i="1"/>
  <c r="AU10" i="1"/>
  <c r="AU15" i="1"/>
  <c r="AV15" i="1" s="1"/>
  <c r="AU19" i="1"/>
  <c r="AU13" i="1"/>
  <c r="AV13" i="1" s="1"/>
  <c r="X15" i="9"/>
  <c r="X12" i="12"/>
  <c r="X14" i="12"/>
  <c r="X14" i="9"/>
  <c r="X16" i="9"/>
  <c r="X13" i="9"/>
  <c r="L3" i="12"/>
  <c r="L3" i="2"/>
  <c r="L3" i="11"/>
  <c r="L3" i="7"/>
  <c r="L3" i="9"/>
  <c r="L2" i="5"/>
  <c r="L2" i="8"/>
  <c r="L2" i="11"/>
  <c r="L2" i="6"/>
  <c r="K8" i="7"/>
  <c r="L2" i="3"/>
  <c r="K8" i="10"/>
  <c r="L8" i="10" s="1"/>
  <c r="F29" i="10" s="1"/>
  <c r="K8" i="5"/>
  <c r="L8" i="5" s="1"/>
  <c r="L8" i="4"/>
  <c r="K8" i="3"/>
  <c r="K8" i="13"/>
  <c r="X16" i="13" s="1"/>
  <c r="K8" i="11"/>
  <c r="X16" i="11" s="1"/>
  <c r="K8" i="6"/>
  <c r="L8" i="9"/>
  <c r="W17" i="9"/>
  <c r="AQ8" i="1"/>
  <c r="AQ9" i="1"/>
  <c r="AQ10" i="1"/>
  <c r="AQ11" i="1"/>
  <c r="AQ12" i="1"/>
  <c r="AQ7" i="1"/>
  <c r="L41" i="2"/>
  <c r="B41" i="2"/>
  <c r="A41" i="2"/>
  <c r="L40" i="2"/>
  <c r="B40" i="2"/>
  <c r="L39" i="2"/>
  <c r="B39" i="2"/>
  <c r="L38" i="2"/>
  <c r="B38" i="2"/>
  <c r="L37" i="2"/>
  <c r="B37" i="2"/>
  <c r="L36" i="2"/>
  <c r="B36" i="2"/>
  <c r="L35" i="2"/>
  <c r="B35" i="2"/>
  <c r="L34" i="2"/>
  <c r="B34" i="2"/>
  <c r="L33" i="2"/>
  <c r="B33" i="2"/>
  <c r="L32" i="2"/>
  <c r="B32" i="2"/>
  <c r="L31" i="2"/>
  <c r="B31" i="2"/>
  <c r="L30" i="2"/>
  <c r="B30" i="2"/>
  <c r="L29" i="2"/>
  <c r="B29" i="2"/>
  <c r="L28" i="2"/>
  <c r="B28" i="2"/>
  <c r="L27" i="2"/>
  <c r="B27" i="2"/>
  <c r="L26" i="2"/>
  <c r="B26" i="2"/>
  <c r="L25" i="2"/>
  <c r="B25" i="2"/>
  <c r="L24" i="2"/>
  <c r="B24" i="2"/>
  <c r="L23" i="2"/>
  <c r="B23" i="2"/>
  <c r="L22" i="2"/>
  <c r="B22" i="2"/>
  <c r="L21" i="2"/>
  <c r="B21" i="2"/>
  <c r="L20" i="2"/>
  <c r="B20" i="2"/>
  <c r="L19" i="2"/>
  <c r="B19" i="2"/>
  <c r="L18" i="2"/>
  <c r="B18" i="2"/>
  <c r="L17" i="2"/>
  <c r="B17" i="2"/>
  <c r="L16" i="2"/>
  <c r="B16" i="2"/>
  <c r="L15" i="2"/>
  <c r="B15" i="2"/>
  <c r="L14" i="2"/>
  <c r="T14" i="2" s="1"/>
  <c r="T43" i="2" s="1"/>
  <c r="B14" i="2"/>
  <c r="L13" i="2"/>
  <c r="B13" i="2"/>
  <c r="L12" i="2"/>
  <c r="B12" i="2"/>
  <c r="L11" i="2"/>
  <c r="B11" i="2"/>
  <c r="N41" i="2"/>
  <c r="N40" i="2"/>
  <c r="N39" i="2"/>
  <c r="N38" i="2"/>
  <c r="N37" i="2"/>
  <c r="N36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AQ6" i="1"/>
  <c r="AQ5" i="1"/>
  <c r="J14" i="1"/>
  <c r="I14" i="1"/>
  <c r="H14" i="1"/>
  <c r="J12" i="1"/>
  <c r="I12" i="1"/>
  <c r="H12" i="1"/>
  <c r="M4" i="1"/>
  <c r="E7" i="3"/>
  <c r="E7" i="4"/>
  <c r="E7" i="5"/>
  <c r="B40" i="5" s="1"/>
  <c r="E7" i="6"/>
  <c r="B32" i="3"/>
  <c r="B16" i="3"/>
  <c r="B41" i="4"/>
  <c r="A41" i="4" s="1"/>
  <c r="B11" i="4"/>
  <c r="B38" i="5"/>
  <c r="B32" i="5"/>
  <c r="B28" i="5"/>
  <c r="B27" i="5"/>
  <c r="B26" i="5"/>
  <c r="B22" i="5"/>
  <c r="B16" i="5"/>
  <c r="B36" i="6"/>
  <c r="B30" i="6"/>
  <c r="B23" i="6"/>
  <c r="B19" i="6"/>
  <c r="B18" i="6"/>
  <c r="B17" i="6"/>
  <c r="B12" i="6"/>
  <c r="B11" i="6"/>
  <c r="D41" i="7"/>
  <c r="B41" i="7"/>
  <c r="A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41" i="13"/>
  <c r="A41" i="13" s="1"/>
  <c r="B40" i="13"/>
  <c r="B39" i="13"/>
  <c r="B38" i="13"/>
  <c r="B37" i="13"/>
  <c r="B36" i="13"/>
  <c r="B35" i="13"/>
  <c r="B34" i="13"/>
  <c r="B33" i="13"/>
  <c r="B32" i="13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B11" i="13"/>
  <c r="D41" i="12"/>
  <c r="B41" i="12"/>
  <c r="A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41" i="11"/>
  <c r="A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D41" i="10"/>
  <c r="B41" i="10"/>
  <c r="A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41" i="9"/>
  <c r="A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41" i="8"/>
  <c r="A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D4" i="1" l="1"/>
  <c r="BE4" i="1"/>
  <c r="BJ4" i="1"/>
  <c r="BK4" i="1"/>
  <c r="X15" i="3" s="1"/>
  <c r="F18" i="10"/>
  <c r="P18" i="10" s="1"/>
  <c r="M18" i="10" s="1"/>
  <c r="F32" i="10"/>
  <c r="P32" i="10" s="1"/>
  <c r="M32" i="10" s="1"/>
  <c r="F22" i="10"/>
  <c r="F23" i="10"/>
  <c r="P23" i="10" s="1"/>
  <c r="M23" i="10" s="1"/>
  <c r="F17" i="10"/>
  <c r="P17" i="10" s="1"/>
  <c r="M17" i="10" s="1"/>
  <c r="F37" i="10"/>
  <c r="P37" i="10" s="1"/>
  <c r="M37" i="10" s="1"/>
  <c r="F24" i="10"/>
  <c r="P24" i="10" s="1"/>
  <c r="M24" i="10" s="1"/>
  <c r="F38" i="10"/>
  <c r="P38" i="10" s="1"/>
  <c r="M38" i="10" s="1"/>
  <c r="F28" i="10"/>
  <c r="P28" i="10" s="1"/>
  <c r="M28" i="10" s="1"/>
  <c r="F31" i="10"/>
  <c r="P31" i="10" s="1"/>
  <c r="M31" i="10" s="1"/>
  <c r="F21" i="10"/>
  <c r="P21" i="10" s="1"/>
  <c r="M21" i="10" s="1"/>
  <c r="BI4" i="1"/>
  <c r="X13" i="3" s="1"/>
  <c r="BL4" i="1"/>
  <c r="X16" i="3" s="1"/>
  <c r="BH4" i="1"/>
  <c r="F40" i="9"/>
  <c r="P40" i="9" s="1"/>
  <c r="M40" i="9" s="1"/>
  <c r="F20" i="9"/>
  <c r="P20" i="9" s="1"/>
  <c r="M20" i="9" s="1"/>
  <c r="F26" i="9"/>
  <c r="P26" i="9" s="1"/>
  <c r="M26" i="9" s="1"/>
  <c r="F35" i="9"/>
  <c r="P35" i="9" s="1"/>
  <c r="M35" i="9" s="1"/>
  <c r="F21" i="9"/>
  <c r="F13" i="9"/>
  <c r="P13" i="9" s="1"/>
  <c r="M13" i="9" s="1"/>
  <c r="F32" i="9"/>
  <c r="F12" i="9"/>
  <c r="P12" i="9" s="1"/>
  <c r="M12" i="9" s="1"/>
  <c r="F18" i="9"/>
  <c r="P18" i="9" s="1"/>
  <c r="M18" i="9" s="1"/>
  <c r="F39" i="9"/>
  <c r="P39" i="9" s="1"/>
  <c r="M39" i="9" s="1"/>
  <c r="F31" i="9"/>
  <c r="P31" i="9" s="1"/>
  <c r="M31" i="9" s="1"/>
  <c r="F17" i="9"/>
  <c r="P17" i="9" s="1"/>
  <c r="M17" i="9" s="1"/>
  <c r="F28" i="9"/>
  <c r="P28" i="9" s="1"/>
  <c r="M28" i="9" s="1"/>
  <c r="F38" i="9"/>
  <c r="P38" i="9" s="1"/>
  <c r="M38" i="9" s="1"/>
  <c r="F14" i="9"/>
  <c r="P14" i="9" s="1"/>
  <c r="M14" i="9" s="1"/>
  <c r="F33" i="9"/>
  <c r="P33" i="9" s="1"/>
  <c r="M33" i="9" s="1"/>
  <c r="F25" i="9"/>
  <c r="F11" i="9"/>
  <c r="P11" i="9" s="1"/>
  <c r="M11" i="9" s="1"/>
  <c r="F24" i="9"/>
  <c r="P24" i="9" s="1"/>
  <c r="M24" i="9" s="1"/>
  <c r="F34" i="9"/>
  <c r="P34" i="9" s="1"/>
  <c r="M34" i="9" s="1"/>
  <c r="F41" i="9"/>
  <c r="P41" i="9" s="1"/>
  <c r="M41" i="9" s="1"/>
  <c r="F27" i="9"/>
  <c r="P27" i="9" s="1"/>
  <c r="M27" i="9" s="1"/>
  <c r="F19" i="9"/>
  <c r="P19" i="9" s="1"/>
  <c r="M19" i="9" s="1"/>
  <c r="X14" i="3"/>
  <c r="F30" i="10"/>
  <c r="P30" i="10" s="1"/>
  <c r="M30" i="10" s="1"/>
  <c r="F14" i="10"/>
  <c r="P14" i="10" s="1"/>
  <c r="M14" i="10" s="1"/>
  <c r="F11" i="10"/>
  <c r="P11" i="10" s="1"/>
  <c r="M11" i="10" s="1"/>
  <c r="F35" i="10"/>
  <c r="P35" i="10" s="1"/>
  <c r="M35" i="10" s="1"/>
  <c r="F25" i="10"/>
  <c r="F36" i="10"/>
  <c r="P36" i="10" s="1"/>
  <c r="M36" i="10" s="1"/>
  <c r="F16" i="10"/>
  <c r="P16" i="10" s="1"/>
  <c r="M16" i="10" s="1"/>
  <c r="F15" i="10"/>
  <c r="P15" i="10" s="1"/>
  <c r="M15" i="10" s="1"/>
  <c r="F39" i="10"/>
  <c r="P39" i="10" s="1"/>
  <c r="M39" i="10" s="1"/>
  <c r="Y13" i="9"/>
  <c r="Y12" i="12"/>
  <c r="Y15" i="9"/>
  <c r="Y14" i="9"/>
  <c r="Y16" i="12"/>
  <c r="Y16" i="9"/>
  <c r="Y15" i="12"/>
  <c r="Y14" i="12"/>
  <c r="Y13" i="12"/>
  <c r="Y12" i="9"/>
  <c r="P37" i="9"/>
  <c r="M37" i="9" s="1"/>
  <c r="P30" i="9"/>
  <c r="M30" i="9" s="1"/>
  <c r="P36" i="9"/>
  <c r="M36" i="9" s="1"/>
  <c r="P15" i="9"/>
  <c r="M15" i="9" s="1"/>
  <c r="P16" i="9"/>
  <c r="M16" i="9" s="1"/>
  <c r="P23" i="9"/>
  <c r="M23" i="9" s="1"/>
  <c r="P29" i="9"/>
  <c r="M29" i="9" s="1"/>
  <c r="P22" i="9"/>
  <c r="M22" i="9" s="1"/>
  <c r="P13" i="10"/>
  <c r="M13" i="10" s="1"/>
  <c r="P19" i="10"/>
  <c r="M19" i="10" s="1"/>
  <c r="P12" i="10"/>
  <c r="M12" i="10" s="1"/>
  <c r="P20" i="10"/>
  <c r="M20" i="10" s="1"/>
  <c r="P33" i="10"/>
  <c r="M33" i="10" s="1"/>
  <c r="P34" i="10"/>
  <c r="M34" i="10" s="1"/>
  <c r="P41" i="10"/>
  <c r="M41" i="10" s="1"/>
  <c r="P40" i="10"/>
  <c r="M40" i="10" s="1"/>
  <c r="P27" i="10"/>
  <c r="M27" i="10" s="1"/>
  <c r="P26" i="10"/>
  <c r="M26" i="10" s="1"/>
  <c r="P22" i="10"/>
  <c r="M22" i="10" s="1"/>
  <c r="P29" i="4"/>
  <c r="P28" i="4"/>
  <c r="P15" i="4"/>
  <c r="P22" i="4"/>
  <c r="P35" i="4"/>
  <c r="P14" i="4"/>
  <c r="P21" i="4"/>
  <c r="P36" i="4"/>
  <c r="P24" i="5"/>
  <c r="P18" i="5"/>
  <c r="P12" i="5"/>
  <c r="P33" i="5"/>
  <c r="P41" i="5"/>
  <c r="P26" i="5"/>
  <c r="P32" i="5"/>
  <c r="P25" i="5"/>
  <c r="P40" i="5"/>
  <c r="P27" i="5"/>
  <c r="P11" i="5"/>
  <c r="P19" i="5"/>
  <c r="P39" i="5"/>
  <c r="P21" i="9"/>
  <c r="M21" i="9" s="1"/>
  <c r="P25" i="9"/>
  <c r="M25" i="9" s="1"/>
  <c r="P29" i="10"/>
  <c r="M29" i="10" s="1"/>
  <c r="P25" i="10"/>
  <c r="M25" i="10" s="1"/>
  <c r="P32" i="9"/>
  <c r="M32" i="9" s="1"/>
  <c r="L42" i="2"/>
  <c r="I43" i="2" s="1"/>
  <c r="J43" i="2" s="1"/>
  <c r="BN3" i="1"/>
  <c r="X14" i="13"/>
  <c r="X15" i="13"/>
  <c r="X13" i="13"/>
  <c r="X13" i="10"/>
  <c r="L8" i="13"/>
  <c r="W17" i="13"/>
  <c r="X14" i="10"/>
  <c r="X12" i="13"/>
  <c r="X15" i="11"/>
  <c r="X15" i="10"/>
  <c r="X12" i="11"/>
  <c r="X13" i="11"/>
  <c r="X14" i="11"/>
  <c r="X16" i="10"/>
  <c r="X12" i="10"/>
  <c r="X15" i="5"/>
  <c r="X16" i="5"/>
  <c r="X12" i="5"/>
  <c r="X14" i="5"/>
  <c r="X13" i="5"/>
  <c r="L8" i="7"/>
  <c r="W17" i="12"/>
  <c r="X17" i="12"/>
  <c r="X17" i="9"/>
  <c r="W17" i="10"/>
  <c r="D14" i="1"/>
  <c r="W17" i="5"/>
  <c r="L8" i="8"/>
  <c r="L8" i="6"/>
  <c r="W17" i="11"/>
  <c r="L8" i="11"/>
  <c r="L8" i="3"/>
  <c r="D12" i="1"/>
  <c r="A41" i="3"/>
  <c r="D41" i="3" s="1"/>
  <c r="B38" i="3"/>
  <c r="B34" i="3"/>
  <c r="B30" i="3"/>
  <c r="B26" i="3"/>
  <c r="B22" i="3"/>
  <c r="B18" i="3"/>
  <c r="B14" i="3"/>
  <c r="B17" i="3"/>
  <c r="B13" i="3"/>
  <c r="B39" i="3"/>
  <c r="B35" i="3"/>
  <c r="B31" i="3"/>
  <c r="B27" i="3"/>
  <c r="B23" i="3"/>
  <c r="B19" i="3"/>
  <c r="B15" i="3"/>
  <c r="B11" i="3"/>
  <c r="B37" i="3"/>
  <c r="B33" i="3"/>
  <c r="B29" i="3"/>
  <c r="B25" i="3"/>
  <c r="B21" i="3"/>
  <c r="B12" i="3"/>
  <c r="B28" i="3"/>
  <c r="B24" i="3"/>
  <c r="B20" i="3"/>
  <c r="B36" i="3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15" i="5"/>
  <c r="B19" i="5"/>
  <c r="B20" i="5"/>
  <c r="B21" i="5"/>
  <c r="B25" i="5"/>
  <c r="B31" i="5"/>
  <c r="B37" i="5"/>
  <c r="B11" i="5"/>
  <c r="B17" i="5"/>
  <c r="B23" i="5"/>
  <c r="B29" i="5"/>
  <c r="B33" i="5"/>
  <c r="B34" i="5"/>
  <c r="B35" i="5"/>
  <c r="B39" i="5"/>
  <c r="B41" i="5"/>
  <c r="A41" i="5" s="1"/>
  <c r="B12" i="5"/>
  <c r="B13" i="5"/>
  <c r="B14" i="5"/>
  <c r="B18" i="5"/>
  <c r="B24" i="5"/>
  <c r="B30" i="5"/>
  <c r="B36" i="5"/>
  <c r="B15" i="6"/>
  <c r="B16" i="6"/>
  <c r="B22" i="6"/>
  <c r="B29" i="6"/>
  <c r="B35" i="6"/>
  <c r="B13" i="6"/>
  <c r="B20" i="6"/>
  <c r="B24" i="6"/>
  <c r="B25" i="6"/>
  <c r="B26" i="6"/>
  <c r="B27" i="6"/>
  <c r="B31" i="6"/>
  <c r="B32" i="6"/>
  <c r="B33" i="6"/>
  <c r="B37" i="6"/>
  <c r="B14" i="6"/>
  <c r="B21" i="6"/>
  <c r="B28" i="6"/>
  <c r="B34" i="6"/>
  <c r="B38" i="6"/>
  <c r="B39" i="6"/>
  <c r="B40" i="6"/>
  <c r="B41" i="6"/>
  <c r="A41" i="6" s="1"/>
  <c r="BL5" i="1" l="1"/>
  <c r="X16" i="4" s="1"/>
  <c r="BJ5" i="1"/>
  <c r="X14" i="4" s="1"/>
  <c r="BK5" i="1"/>
  <c r="X15" i="4" s="1"/>
  <c r="BH5" i="1"/>
  <c r="X12" i="4" s="1"/>
  <c r="BI5" i="1"/>
  <c r="X13" i="4" s="1"/>
  <c r="X12" i="3"/>
  <c r="Y13" i="3" s="1"/>
  <c r="BK9" i="1"/>
  <c r="F27" i="8"/>
  <c r="F37" i="8"/>
  <c r="F13" i="8"/>
  <c r="F16" i="8"/>
  <c r="F36" i="8"/>
  <c r="F23" i="8"/>
  <c r="F29" i="8"/>
  <c r="F34" i="8"/>
  <c r="F20" i="8"/>
  <c r="F30" i="8"/>
  <c r="F35" i="8"/>
  <c r="F15" i="8"/>
  <c r="F21" i="8"/>
  <c r="F28" i="8"/>
  <c r="F14" i="8"/>
  <c r="F24" i="8"/>
  <c r="F31" i="8"/>
  <c r="F41" i="8"/>
  <c r="F17" i="8"/>
  <c r="F22" i="8"/>
  <c r="F38" i="8"/>
  <c r="F32" i="13"/>
  <c r="P32" i="13" s="1"/>
  <c r="M32" i="13" s="1"/>
  <c r="F38" i="13"/>
  <c r="P38" i="13" s="1"/>
  <c r="M38" i="13" s="1"/>
  <c r="F14" i="13"/>
  <c r="P14" i="13" s="1"/>
  <c r="M14" i="13" s="1"/>
  <c r="F37" i="13"/>
  <c r="P37" i="13" s="1"/>
  <c r="M37" i="13" s="1"/>
  <c r="F23" i="13"/>
  <c r="P23" i="13" s="1"/>
  <c r="M23" i="13" s="1"/>
  <c r="F28" i="13"/>
  <c r="P28" i="13" s="1"/>
  <c r="M28" i="13" s="1"/>
  <c r="F30" i="13"/>
  <c r="P30" i="13" s="1"/>
  <c r="M30" i="13" s="1"/>
  <c r="F39" i="13"/>
  <c r="P39" i="13" s="1"/>
  <c r="M39" i="13" s="1"/>
  <c r="F31" i="13"/>
  <c r="P31" i="13" s="1"/>
  <c r="M31" i="13" s="1"/>
  <c r="F17" i="13"/>
  <c r="P17" i="13" s="1"/>
  <c r="M17" i="13" s="1"/>
  <c r="F24" i="13"/>
  <c r="P24" i="13" s="1"/>
  <c r="M24" i="13" s="1"/>
  <c r="F22" i="13"/>
  <c r="P22" i="13" s="1"/>
  <c r="M22" i="13" s="1"/>
  <c r="F21" i="13"/>
  <c r="P21" i="13" s="1"/>
  <c r="M21" i="13" s="1"/>
  <c r="F25" i="13"/>
  <c r="P25" i="13" s="1"/>
  <c r="M25" i="13" s="1"/>
  <c r="F11" i="13"/>
  <c r="P11" i="13" s="1"/>
  <c r="M11" i="13" s="1"/>
  <c r="F16" i="13"/>
  <c r="P16" i="13" s="1"/>
  <c r="M16" i="13" s="1"/>
  <c r="F18" i="13"/>
  <c r="P18" i="13" s="1"/>
  <c r="M18" i="13" s="1"/>
  <c r="F15" i="13"/>
  <c r="P15" i="13" s="1"/>
  <c r="M15" i="13" s="1"/>
  <c r="F29" i="13"/>
  <c r="P29" i="13" s="1"/>
  <c r="M29" i="13" s="1"/>
  <c r="BD5" i="1"/>
  <c r="BF5" i="1"/>
  <c r="BC5" i="1"/>
  <c r="BG5" i="1"/>
  <c r="BE5" i="1"/>
  <c r="F34" i="11"/>
  <c r="P34" i="11" s="1"/>
  <c r="M34" i="11" s="1"/>
  <c r="F14" i="11"/>
  <c r="P14" i="11" s="1"/>
  <c r="M14" i="11" s="1"/>
  <c r="F20" i="11"/>
  <c r="P20" i="11" s="1"/>
  <c r="M20" i="11" s="1"/>
  <c r="F29" i="11"/>
  <c r="P29" i="11" s="1"/>
  <c r="M29" i="11" s="1"/>
  <c r="F21" i="11"/>
  <c r="P21" i="11" s="1"/>
  <c r="M21" i="11" s="1"/>
  <c r="F30" i="11"/>
  <c r="P30" i="11" s="1"/>
  <c r="M30" i="11" s="1"/>
  <c r="F40" i="11"/>
  <c r="P40" i="11" s="1"/>
  <c r="M40" i="11" s="1"/>
  <c r="F16" i="11"/>
  <c r="P16" i="11" s="1"/>
  <c r="M16" i="11" s="1"/>
  <c r="F23" i="11"/>
  <c r="P23" i="11" s="1"/>
  <c r="M23" i="11" s="1"/>
  <c r="F15" i="11"/>
  <c r="P15" i="11" s="1"/>
  <c r="M15" i="11" s="1"/>
  <c r="F26" i="11"/>
  <c r="P26" i="11" s="1"/>
  <c r="M26" i="11" s="1"/>
  <c r="F36" i="11"/>
  <c r="P36" i="11" s="1"/>
  <c r="M36" i="11" s="1"/>
  <c r="F12" i="11"/>
  <c r="P12" i="11" s="1"/>
  <c r="M12" i="11" s="1"/>
  <c r="F33" i="11"/>
  <c r="P33" i="11" s="1"/>
  <c r="M33" i="11" s="1"/>
  <c r="F19" i="11"/>
  <c r="F22" i="11"/>
  <c r="P22" i="11" s="1"/>
  <c r="M22" i="11" s="1"/>
  <c r="F28" i="11"/>
  <c r="P28" i="11" s="1"/>
  <c r="M28" i="11" s="1"/>
  <c r="F35" i="11"/>
  <c r="P35" i="11" s="1"/>
  <c r="M35" i="11" s="1"/>
  <c r="F27" i="11"/>
  <c r="P27" i="11" s="1"/>
  <c r="M27" i="11" s="1"/>
  <c r="F37" i="11"/>
  <c r="P37" i="11" s="1"/>
  <c r="M37" i="11" s="1"/>
  <c r="Y14" i="5"/>
  <c r="Y12" i="11"/>
  <c r="Y12" i="10"/>
  <c r="Y13" i="13"/>
  <c r="Y14" i="10"/>
  <c r="Y16" i="13"/>
  <c r="Y12" i="5"/>
  <c r="Y16" i="10"/>
  <c r="Y15" i="10"/>
  <c r="Y15" i="13"/>
  <c r="Y16" i="11"/>
  <c r="Y16" i="5"/>
  <c r="Y14" i="11"/>
  <c r="Y15" i="11"/>
  <c r="Y14" i="13"/>
  <c r="Y13" i="5"/>
  <c r="Y15" i="5"/>
  <c r="Y13" i="11"/>
  <c r="Y12" i="13"/>
  <c r="Y13" i="10"/>
  <c r="I33" i="5"/>
  <c r="M33" i="5"/>
  <c r="M22" i="4"/>
  <c r="I22" i="4" s="1"/>
  <c r="M32" i="5"/>
  <c r="I32" i="5"/>
  <c r="M21" i="4"/>
  <c r="I21" i="4" s="1"/>
  <c r="M39" i="5"/>
  <c r="I39" i="5"/>
  <c r="M40" i="5"/>
  <c r="I40" i="5"/>
  <c r="I41" i="5"/>
  <c r="M41" i="5"/>
  <c r="M24" i="5"/>
  <c r="I24" i="5"/>
  <c r="M35" i="4"/>
  <c r="I35" i="4" s="1"/>
  <c r="M29" i="4"/>
  <c r="I29" i="4" s="1"/>
  <c r="M19" i="5"/>
  <c r="I19" i="5"/>
  <c r="I25" i="5"/>
  <c r="M25" i="5"/>
  <c r="M36" i="4"/>
  <c r="I36" i="4" s="1"/>
  <c r="I11" i="5"/>
  <c r="M11" i="5"/>
  <c r="M12" i="5"/>
  <c r="I12" i="5"/>
  <c r="M15" i="4"/>
  <c r="I15" i="4" s="1"/>
  <c r="M27" i="5"/>
  <c r="I27" i="5"/>
  <c r="I26" i="5"/>
  <c r="M26" i="5"/>
  <c r="I18" i="5"/>
  <c r="M18" i="5"/>
  <c r="M14" i="4"/>
  <c r="I14" i="4" s="1"/>
  <c r="M28" i="4"/>
  <c r="I28" i="4" s="1"/>
  <c r="P19" i="11"/>
  <c r="M19" i="11" s="1"/>
  <c r="P41" i="3"/>
  <c r="P28" i="3"/>
  <c r="P21" i="3"/>
  <c r="P39" i="3"/>
  <c r="P35" i="3"/>
  <c r="P36" i="3"/>
  <c r="P40" i="3"/>
  <c r="P22" i="3"/>
  <c r="P29" i="3"/>
  <c r="P14" i="3"/>
  <c r="P15" i="3"/>
  <c r="P19" i="13"/>
  <c r="M19" i="13" s="1"/>
  <c r="P13" i="13"/>
  <c r="M13" i="13" s="1"/>
  <c r="P12" i="13"/>
  <c r="M12" i="13" s="1"/>
  <c r="P20" i="13"/>
  <c r="M20" i="13" s="1"/>
  <c r="P40" i="13"/>
  <c r="M40" i="13" s="1"/>
  <c r="P33" i="13"/>
  <c r="M33" i="13" s="1"/>
  <c r="P41" i="13"/>
  <c r="M41" i="13" s="1"/>
  <c r="P34" i="13"/>
  <c r="M34" i="13" s="1"/>
  <c r="P36" i="13"/>
  <c r="M36" i="13" s="1"/>
  <c r="P35" i="13"/>
  <c r="M35" i="13" s="1"/>
  <c r="P27" i="13"/>
  <c r="M27" i="13" s="1"/>
  <c r="P26" i="13"/>
  <c r="M26" i="13" s="1"/>
  <c r="P25" i="11"/>
  <c r="M25" i="11" s="1"/>
  <c r="P24" i="11"/>
  <c r="M24" i="11" s="1"/>
  <c r="P32" i="11"/>
  <c r="M32" i="11" s="1"/>
  <c r="P13" i="11"/>
  <c r="M13" i="11" s="1"/>
  <c r="P18" i="11"/>
  <c r="M18" i="11" s="1"/>
  <c r="P39" i="11"/>
  <c r="M39" i="11" s="1"/>
  <c r="P41" i="11"/>
  <c r="M41" i="11" s="1"/>
  <c r="P38" i="11"/>
  <c r="M38" i="11" s="1"/>
  <c r="P11" i="11"/>
  <c r="M11" i="11" s="1"/>
  <c r="P31" i="11"/>
  <c r="M31" i="11" s="1"/>
  <c r="P17" i="11"/>
  <c r="M17" i="11" s="1"/>
  <c r="P18" i="8"/>
  <c r="P12" i="8"/>
  <c r="P39" i="8"/>
  <c r="P33" i="8"/>
  <c r="P25" i="8"/>
  <c r="P19" i="8"/>
  <c r="P40" i="8"/>
  <c r="P11" i="8"/>
  <c r="P32" i="8"/>
  <c r="P26" i="8"/>
  <c r="P27" i="7"/>
  <c r="P28" i="7"/>
  <c r="P21" i="7"/>
  <c r="P14" i="7"/>
  <c r="P15" i="7"/>
  <c r="P13" i="7"/>
  <c r="P34" i="7"/>
  <c r="P20" i="7"/>
  <c r="P41" i="7"/>
  <c r="P35" i="7"/>
  <c r="P11" i="6"/>
  <c r="P38" i="6"/>
  <c r="P16" i="6"/>
  <c r="P30" i="6"/>
  <c r="P31" i="6"/>
  <c r="P37" i="6"/>
  <c r="P17" i="6"/>
  <c r="P35" i="6"/>
  <c r="P24" i="6"/>
  <c r="P23" i="6"/>
  <c r="M43" i="2"/>
  <c r="BA4" i="1"/>
  <c r="X3" i="3"/>
  <c r="X4" i="3"/>
  <c r="X17" i="10"/>
  <c r="X17" i="5"/>
  <c r="X17" i="11"/>
  <c r="X17" i="13"/>
  <c r="D41" i="5"/>
  <c r="Y15" i="3" l="1"/>
  <c r="BG6" i="1"/>
  <c r="BG7" i="1" s="1"/>
  <c r="BG8" i="1" s="1"/>
  <c r="BG9" i="1" s="1"/>
  <c r="Y15" i="4"/>
  <c r="BC6" i="1"/>
  <c r="BC7" i="1" s="1"/>
  <c r="BC8" i="1" s="1"/>
  <c r="BC9" i="1" s="1"/>
  <c r="BH9" i="1"/>
  <c r="BF6" i="1"/>
  <c r="BF7" i="1" s="1"/>
  <c r="BF8" i="1" s="1"/>
  <c r="BF9" i="1" s="1"/>
  <c r="Y16" i="3"/>
  <c r="BI9" i="1"/>
  <c r="Y13" i="4"/>
  <c r="Y16" i="4"/>
  <c r="Y14" i="4"/>
  <c r="BE6" i="1"/>
  <c r="BE7" i="1" s="1"/>
  <c r="BE8" i="1" s="1"/>
  <c r="BE9" i="1" s="1"/>
  <c r="BD6" i="1"/>
  <c r="BD7" i="1" s="1"/>
  <c r="BD8" i="1" s="1"/>
  <c r="BD9" i="1" s="1"/>
  <c r="Y12" i="3"/>
  <c r="BJ9" i="1"/>
  <c r="W17" i="4"/>
  <c r="Y12" i="4"/>
  <c r="X17" i="4"/>
  <c r="BL9" i="1"/>
  <c r="Y14" i="3"/>
  <c r="M31" i="6"/>
  <c r="I31" i="6"/>
  <c r="M15" i="7"/>
  <c r="I15" i="7"/>
  <c r="M40" i="8"/>
  <c r="I40" i="8"/>
  <c r="M35" i="6"/>
  <c r="I35" i="6"/>
  <c r="M20" i="7"/>
  <c r="I20" i="7"/>
  <c r="M26" i="8"/>
  <c r="I26" i="8"/>
  <c r="M12" i="8"/>
  <c r="I12" i="8"/>
  <c r="M17" i="6"/>
  <c r="I17" i="6"/>
  <c r="M34" i="7"/>
  <c r="I34" i="7"/>
  <c r="M32" i="8"/>
  <c r="I32" i="8"/>
  <c r="M25" i="8"/>
  <c r="I25" i="8"/>
  <c r="M18" i="8"/>
  <c r="I18" i="8"/>
  <c r="M24" i="6"/>
  <c r="I24" i="6"/>
  <c r="M11" i="6"/>
  <c r="I11" i="6"/>
  <c r="M41" i="7"/>
  <c r="I41" i="7"/>
  <c r="M27" i="7"/>
  <c r="I27" i="7"/>
  <c r="M39" i="8"/>
  <c r="I39" i="8"/>
  <c r="M30" i="6"/>
  <c r="I30" i="6"/>
  <c r="M14" i="7"/>
  <c r="I14" i="7"/>
  <c r="M19" i="8"/>
  <c r="I19" i="8"/>
  <c r="M16" i="6"/>
  <c r="I16" i="6"/>
  <c r="M21" i="7"/>
  <c r="I21" i="7"/>
  <c r="M23" i="6"/>
  <c r="I23" i="6"/>
  <c r="M37" i="6"/>
  <c r="I37" i="6"/>
  <c r="M38" i="6"/>
  <c r="I38" i="6"/>
  <c r="M35" i="7"/>
  <c r="I35" i="7"/>
  <c r="M13" i="7"/>
  <c r="I13" i="7"/>
  <c r="M28" i="7"/>
  <c r="I28" i="7"/>
  <c r="M11" i="8"/>
  <c r="I11" i="8"/>
  <c r="M33" i="8"/>
  <c r="I33" i="8"/>
  <c r="I29" i="3"/>
  <c r="M29" i="3"/>
  <c r="M39" i="3"/>
  <c r="I39" i="3"/>
  <c r="M14" i="3"/>
  <c r="I14" i="3"/>
  <c r="I36" i="3"/>
  <c r="M36" i="3"/>
  <c r="I28" i="3"/>
  <c r="M28" i="3"/>
  <c r="M35" i="3"/>
  <c r="I35" i="3"/>
  <c r="I41" i="3"/>
  <c r="M41" i="3"/>
  <c r="M22" i="3"/>
  <c r="I22" i="3"/>
  <c r="M15" i="3"/>
  <c r="I15" i="3"/>
  <c r="I40" i="3"/>
  <c r="M40" i="3"/>
  <c r="I21" i="3"/>
  <c r="M21" i="3"/>
  <c r="G7" i="13"/>
  <c r="K4" i="13" s="1"/>
  <c r="E7" i="13"/>
  <c r="H4" i="13"/>
  <c r="A4" i="13"/>
  <c r="G7" i="12"/>
  <c r="K4" i="12" s="1"/>
  <c r="E7" i="12"/>
  <c r="H4" i="12"/>
  <c r="A4" i="12"/>
  <c r="G7" i="11"/>
  <c r="E7" i="11"/>
  <c r="H4" i="11"/>
  <c r="A4" i="11"/>
  <c r="G7" i="10"/>
  <c r="E7" i="10"/>
  <c r="H4" i="10"/>
  <c r="A4" i="10"/>
  <c r="G7" i="9"/>
  <c r="E7" i="9"/>
  <c r="H4" i="9"/>
  <c r="A4" i="9"/>
  <c r="G7" i="8"/>
  <c r="E7" i="8"/>
  <c r="H4" i="8"/>
  <c r="A4" i="8"/>
  <c r="G7" i="7"/>
  <c r="E7" i="7"/>
  <c r="H4" i="7"/>
  <c r="A4" i="7"/>
  <c r="G7" i="6"/>
  <c r="H4" i="6"/>
  <c r="A4" i="6"/>
  <c r="G7" i="5"/>
  <c r="H4" i="5"/>
  <c r="A4" i="5"/>
  <c r="G7" i="4"/>
  <c r="H4" i="4"/>
  <c r="A4" i="4"/>
  <c r="BF10" i="1" l="1"/>
  <c r="BF11" i="1" s="1"/>
  <c r="BF12" i="1" s="1"/>
  <c r="BF13" i="1" s="1"/>
  <c r="BF14" i="1" s="1"/>
  <c r="BD10" i="1"/>
  <c r="BD11" i="1" s="1"/>
  <c r="BD12" i="1" s="1"/>
  <c r="BD13" i="1" s="1"/>
  <c r="BD14" i="1" s="1"/>
  <c r="BG10" i="1"/>
  <c r="BG11" i="1" s="1"/>
  <c r="BG12" i="1" s="1"/>
  <c r="BG13" i="1" s="1"/>
  <c r="BG14" i="1" s="1"/>
  <c r="BE10" i="1"/>
  <c r="BE11" i="1" s="1"/>
  <c r="BE12" i="1" s="1"/>
  <c r="BE13" i="1" s="1"/>
  <c r="BE14" i="1" s="1"/>
  <c r="BC10" i="1"/>
  <c r="BC11" i="1" s="1"/>
  <c r="BC12" i="1" s="1"/>
  <c r="BC13" i="1" s="1"/>
  <c r="BC14" i="1" s="1"/>
  <c r="X17" i="3"/>
  <c r="W17" i="3"/>
  <c r="X13" i="8"/>
  <c r="X14" i="8"/>
  <c r="X12" i="8"/>
  <c r="X15" i="8"/>
  <c r="X16" i="8"/>
  <c r="W17" i="8"/>
  <c r="U39" i="6"/>
  <c r="U39" i="7"/>
  <c r="U39" i="8"/>
  <c r="U39" i="9"/>
  <c r="U39" i="10"/>
  <c r="U39" i="11"/>
  <c r="U39" i="12"/>
  <c r="U39" i="5"/>
  <c r="U39" i="4"/>
  <c r="D40" i="4"/>
  <c r="D38" i="4"/>
  <c r="D36" i="4"/>
  <c r="D34" i="4"/>
  <c r="D32" i="4"/>
  <c r="D30" i="4"/>
  <c r="D28" i="4"/>
  <c r="D26" i="4"/>
  <c r="D24" i="4"/>
  <c r="D22" i="4"/>
  <c r="D20" i="4"/>
  <c r="D18" i="4"/>
  <c r="D16" i="4"/>
  <c r="D14" i="4"/>
  <c r="D12" i="4"/>
  <c r="C39" i="4"/>
  <c r="C37" i="4"/>
  <c r="C35" i="4"/>
  <c r="C33" i="4"/>
  <c r="C31" i="4"/>
  <c r="C29" i="4"/>
  <c r="C27" i="4"/>
  <c r="C25" i="4"/>
  <c r="C23" i="4"/>
  <c r="C21" i="4"/>
  <c r="C19" i="4"/>
  <c r="C17" i="4"/>
  <c r="C15" i="4"/>
  <c r="C13" i="4"/>
  <c r="D39" i="4"/>
  <c r="D35" i="4"/>
  <c r="D31" i="4"/>
  <c r="D27" i="4"/>
  <c r="D23" i="4"/>
  <c r="D19" i="4"/>
  <c r="D15" i="4"/>
  <c r="C11" i="4"/>
  <c r="C40" i="4"/>
  <c r="C34" i="4"/>
  <c r="D29" i="4"/>
  <c r="C24" i="4"/>
  <c r="C18" i="4"/>
  <c r="D13" i="4"/>
  <c r="C36" i="4"/>
  <c r="C30" i="4"/>
  <c r="D25" i="4"/>
  <c r="C20" i="4"/>
  <c r="C14" i="4"/>
  <c r="C41" i="4"/>
  <c r="D33" i="4"/>
  <c r="C22" i="4"/>
  <c r="C12" i="4"/>
  <c r="D37" i="4"/>
  <c r="C26" i="4"/>
  <c r="C16" i="4"/>
  <c r="C32" i="4"/>
  <c r="D21" i="4"/>
  <c r="C38" i="4"/>
  <c r="C28" i="4"/>
  <c r="D17" i="4"/>
  <c r="D11" i="4"/>
  <c r="D41" i="4"/>
  <c r="C40" i="6"/>
  <c r="C38" i="6"/>
  <c r="C35" i="6"/>
  <c r="C32" i="6"/>
  <c r="C29" i="6"/>
  <c r="C26" i="6"/>
  <c r="C20" i="6"/>
  <c r="C15" i="6"/>
  <c r="C12" i="6"/>
  <c r="D40" i="6"/>
  <c r="D38" i="6"/>
  <c r="C33" i="6"/>
  <c r="C27" i="6"/>
  <c r="C23" i="6"/>
  <c r="C21" i="6"/>
  <c r="C18" i="6"/>
  <c r="C16" i="6"/>
  <c r="C13" i="6"/>
  <c r="D39" i="6"/>
  <c r="C30" i="6"/>
  <c r="C25" i="6"/>
  <c r="D21" i="6"/>
  <c r="C17" i="6"/>
  <c r="C36" i="6"/>
  <c r="C31" i="6"/>
  <c r="C24" i="6"/>
  <c r="C14" i="6"/>
  <c r="C37" i="6"/>
  <c r="C34" i="6"/>
  <c r="C28" i="6"/>
  <c r="C19" i="6"/>
  <c r="D14" i="6"/>
  <c r="D34" i="6"/>
  <c r="C22" i="6"/>
  <c r="C41" i="6"/>
  <c r="C11" i="6"/>
  <c r="C39" i="6"/>
  <c r="D28" i="6"/>
  <c r="D24" i="6"/>
  <c r="D37" i="6"/>
  <c r="D22" i="6"/>
  <c r="D12" i="6"/>
  <c r="D19" i="6"/>
  <c r="D30" i="6"/>
  <c r="D26" i="6"/>
  <c r="D17" i="6"/>
  <c r="D36" i="6"/>
  <c r="D25" i="6"/>
  <c r="D31" i="6"/>
  <c r="D15" i="6"/>
  <c r="D29" i="6"/>
  <c r="D35" i="6"/>
  <c r="D20" i="6"/>
  <c r="D32" i="6"/>
  <c r="D16" i="6"/>
  <c r="D33" i="6"/>
  <c r="D23" i="6"/>
  <c r="D13" i="6"/>
  <c r="D11" i="6"/>
  <c r="D18" i="6"/>
  <c r="D27" i="6"/>
  <c r="D41" i="6"/>
  <c r="C40" i="7"/>
  <c r="D39" i="7"/>
  <c r="C36" i="7"/>
  <c r="D35" i="7"/>
  <c r="C32" i="7"/>
  <c r="D31" i="7"/>
  <c r="C28" i="7"/>
  <c r="D27" i="7"/>
  <c r="C24" i="7"/>
  <c r="D23" i="7"/>
  <c r="C20" i="7"/>
  <c r="D19" i="7"/>
  <c r="C16" i="7"/>
  <c r="D15" i="7"/>
  <c r="D40" i="7"/>
  <c r="C37" i="7"/>
  <c r="D36" i="7"/>
  <c r="C33" i="7"/>
  <c r="D32" i="7"/>
  <c r="C29" i="7"/>
  <c r="D28" i="7"/>
  <c r="C25" i="7"/>
  <c r="D24" i="7"/>
  <c r="C21" i="7"/>
  <c r="D20" i="7"/>
  <c r="C17" i="7"/>
  <c r="D16" i="7"/>
  <c r="C13" i="7"/>
  <c r="D12" i="7"/>
  <c r="C39" i="7"/>
  <c r="C38" i="7"/>
  <c r="D37" i="7"/>
  <c r="C31" i="7"/>
  <c r="C30" i="7"/>
  <c r="D29" i="7"/>
  <c r="C23" i="7"/>
  <c r="C22" i="7"/>
  <c r="D21" i="7"/>
  <c r="C15" i="7"/>
  <c r="C14" i="7"/>
  <c r="D13" i="7"/>
  <c r="C12" i="7"/>
  <c r="C11" i="7"/>
  <c r="C35" i="7"/>
  <c r="C34" i="7"/>
  <c r="D33" i="7"/>
  <c r="D30" i="7"/>
  <c r="D26" i="7"/>
  <c r="D38" i="7"/>
  <c r="D34" i="7"/>
  <c r="D11" i="7"/>
  <c r="D22" i="7"/>
  <c r="C27" i="7"/>
  <c r="C19" i="7"/>
  <c r="C18" i="7"/>
  <c r="D17" i="7"/>
  <c r="D14" i="7"/>
  <c r="C41" i="7"/>
  <c r="D25" i="7"/>
  <c r="C26" i="7"/>
  <c r="D18" i="7"/>
  <c r="E41" i="7"/>
  <c r="C41" i="5"/>
  <c r="C38" i="5"/>
  <c r="C36" i="5"/>
  <c r="C32" i="5"/>
  <c r="C30" i="5"/>
  <c r="C27" i="5"/>
  <c r="C25" i="5"/>
  <c r="C22" i="5"/>
  <c r="C19" i="5"/>
  <c r="C16" i="5"/>
  <c r="C14" i="5"/>
  <c r="C12" i="5"/>
  <c r="C39" i="5"/>
  <c r="D36" i="5"/>
  <c r="C33" i="5"/>
  <c r="D30" i="5"/>
  <c r="C23" i="5"/>
  <c r="C20" i="5"/>
  <c r="C17" i="5"/>
  <c r="D14" i="5"/>
  <c r="D12" i="5"/>
  <c r="D24" i="5"/>
  <c r="D18" i="5"/>
  <c r="D13" i="5"/>
  <c r="C40" i="5"/>
  <c r="C34" i="5"/>
  <c r="C28" i="5"/>
  <c r="C18" i="5"/>
  <c r="C11" i="5"/>
  <c r="D40" i="5"/>
  <c r="C35" i="5"/>
  <c r="C29" i="5"/>
  <c r="C26" i="5"/>
  <c r="C21" i="5"/>
  <c r="C13" i="5"/>
  <c r="C15" i="5"/>
  <c r="C37" i="5"/>
  <c r="C31" i="5"/>
  <c r="C24" i="5"/>
  <c r="D11" i="5"/>
  <c r="D29" i="5"/>
  <c r="D35" i="5"/>
  <c r="D19" i="5"/>
  <c r="D25" i="5"/>
  <c r="D16" i="5"/>
  <c r="D26" i="5"/>
  <c r="D32" i="5"/>
  <c r="D23" i="5"/>
  <c r="D33" i="5"/>
  <c r="D21" i="5"/>
  <c r="D37" i="5"/>
  <c r="D28" i="5"/>
  <c r="D20" i="5"/>
  <c r="D27" i="5"/>
  <c r="D17" i="5"/>
  <c r="D39" i="5"/>
  <c r="D15" i="5"/>
  <c r="D31" i="5"/>
  <c r="D22" i="5"/>
  <c r="D38" i="5"/>
  <c r="D34" i="5"/>
  <c r="E41" i="5"/>
  <c r="C41" i="8"/>
  <c r="C38" i="8"/>
  <c r="D37" i="8"/>
  <c r="C34" i="8"/>
  <c r="D33" i="8"/>
  <c r="C30" i="8"/>
  <c r="D29" i="8"/>
  <c r="C26" i="8"/>
  <c r="D25" i="8"/>
  <c r="C22" i="8"/>
  <c r="D21" i="8"/>
  <c r="C18" i="8"/>
  <c r="D17" i="8"/>
  <c r="C14" i="8"/>
  <c r="D13" i="8"/>
  <c r="D41" i="8"/>
  <c r="D30" i="8"/>
  <c r="C28" i="8"/>
  <c r="D24" i="8"/>
  <c r="D14" i="8"/>
  <c r="C12" i="8"/>
  <c r="D39" i="8"/>
  <c r="D26" i="8"/>
  <c r="C11" i="8"/>
  <c r="C39" i="8"/>
  <c r="C36" i="8"/>
  <c r="C21" i="8"/>
  <c r="C35" i="8"/>
  <c r="D34" i="8"/>
  <c r="C33" i="8"/>
  <c r="C32" i="8"/>
  <c r="D31" i="8"/>
  <c r="D28" i="8"/>
  <c r="C19" i="8"/>
  <c r="D18" i="8"/>
  <c r="C17" i="8"/>
  <c r="C16" i="8"/>
  <c r="D15" i="8"/>
  <c r="D12" i="8"/>
  <c r="D40" i="8"/>
  <c r="C31" i="8"/>
  <c r="C29" i="8"/>
  <c r="D27" i="8"/>
  <c r="C15" i="8"/>
  <c r="C13" i="8"/>
  <c r="D11" i="8"/>
  <c r="C40" i="8"/>
  <c r="D36" i="8"/>
  <c r="C27" i="8"/>
  <c r="C25" i="8"/>
  <c r="C24" i="8"/>
  <c r="D23" i="8"/>
  <c r="D20" i="8"/>
  <c r="D38" i="8"/>
  <c r="C37" i="8"/>
  <c r="D35" i="8"/>
  <c r="D32" i="8"/>
  <c r="C23" i="8"/>
  <c r="D22" i="8"/>
  <c r="C20" i="8"/>
  <c r="D19" i="8"/>
  <c r="D16" i="8"/>
  <c r="C41" i="9"/>
  <c r="C38" i="9"/>
  <c r="D37" i="9"/>
  <c r="C34" i="9"/>
  <c r="D33" i="9"/>
  <c r="C30" i="9"/>
  <c r="D29" i="9"/>
  <c r="C26" i="9"/>
  <c r="D25" i="9"/>
  <c r="C22" i="9"/>
  <c r="D21" i="9"/>
  <c r="C18" i="9"/>
  <c r="D17" i="9"/>
  <c r="C14" i="9"/>
  <c r="D13" i="9"/>
  <c r="C40" i="9"/>
  <c r="D39" i="9"/>
  <c r="D36" i="9"/>
  <c r="C27" i="9"/>
  <c r="D26" i="9"/>
  <c r="C25" i="9"/>
  <c r="C24" i="9"/>
  <c r="D23" i="9"/>
  <c r="D20" i="9"/>
  <c r="C11" i="9"/>
  <c r="C39" i="9"/>
  <c r="C37" i="9"/>
  <c r="D32" i="9"/>
  <c r="D22" i="9"/>
  <c r="C20" i="9"/>
  <c r="D16" i="9"/>
  <c r="C32" i="9"/>
  <c r="D28" i="9"/>
  <c r="C19" i="9"/>
  <c r="C16" i="9"/>
  <c r="D41" i="9"/>
  <c r="D40" i="9"/>
  <c r="C31" i="9"/>
  <c r="D30" i="9"/>
  <c r="C29" i="9"/>
  <c r="C28" i="9"/>
  <c r="D27" i="9"/>
  <c r="D24" i="9"/>
  <c r="C15" i="9"/>
  <c r="D14" i="9"/>
  <c r="C13" i="9"/>
  <c r="C12" i="9"/>
  <c r="D11" i="9"/>
  <c r="D38" i="9"/>
  <c r="C36" i="9"/>
  <c r="D35" i="9"/>
  <c r="C23" i="9"/>
  <c r="C21" i="9"/>
  <c r="D19" i="9"/>
  <c r="C35" i="9"/>
  <c r="D34" i="9"/>
  <c r="C33" i="9"/>
  <c r="D31" i="9"/>
  <c r="D18" i="9"/>
  <c r="C17" i="9"/>
  <c r="D15" i="9"/>
  <c r="D12" i="9"/>
  <c r="C41" i="10"/>
  <c r="C38" i="10"/>
  <c r="D37" i="10"/>
  <c r="C22" i="10"/>
  <c r="C18" i="10"/>
  <c r="C39" i="10"/>
  <c r="D38" i="10"/>
  <c r="C35" i="10"/>
  <c r="D34" i="10"/>
  <c r="C31" i="10"/>
  <c r="D30" i="10"/>
  <c r="C27" i="10"/>
  <c r="D26" i="10"/>
  <c r="C23" i="10"/>
  <c r="D22" i="10"/>
  <c r="C19" i="10"/>
  <c r="D18" i="10"/>
  <c r="C15" i="10"/>
  <c r="D14" i="10"/>
  <c r="C11" i="10"/>
  <c r="C34" i="10"/>
  <c r="D33" i="10"/>
  <c r="C30" i="10"/>
  <c r="D29" i="10"/>
  <c r="C26" i="10"/>
  <c r="D25" i="10"/>
  <c r="D21" i="10"/>
  <c r="D17" i="10"/>
  <c r="D36" i="10"/>
  <c r="D28" i="10"/>
  <c r="D20" i="10"/>
  <c r="C12" i="10"/>
  <c r="D11" i="10"/>
  <c r="C28" i="10"/>
  <c r="C20" i="10"/>
  <c r="C40" i="10"/>
  <c r="D39" i="10"/>
  <c r="C33" i="10"/>
  <c r="C32" i="10"/>
  <c r="D31" i="10"/>
  <c r="C25" i="10"/>
  <c r="C24" i="10"/>
  <c r="D23" i="10"/>
  <c r="C17" i="10"/>
  <c r="C16" i="10"/>
  <c r="D15" i="10"/>
  <c r="C14" i="10"/>
  <c r="C13" i="10"/>
  <c r="D12" i="10"/>
  <c r="C37" i="10"/>
  <c r="C36" i="10"/>
  <c r="D35" i="10"/>
  <c r="C29" i="10"/>
  <c r="D27" i="10"/>
  <c r="C21" i="10"/>
  <c r="D19" i="10"/>
  <c r="D40" i="10"/>
  <c r="D32" i="10"/>
  <c r="D24" i="10"/>
  <c r="D16" i="10"/>
  <c r="D13" i="10"/>
  <c r="E41" i="10"/>
  <c r="D41" i="11"/>
  <c r="C39" i="11"/>
  <c r="D38" i="11"/>
  <c r="C35" i="11"/>
  <c r="D34" i="11"/>
  <c r="C31" i="11"/>
  <c r="D30" i="11"/>
  <c r="C27" i="11"/>
  <c r="D26" i="11"/>
  <c r="C23" i="11"/>
  <c r="D22" i="11"/>
  <c r="C19" i="11"/>
  <c r="D18" i="11"/>
  <c r="C15" i="11"/>
  <c r="D14" i="11"/>
  <c r="C11" i="11"/>
  <c r="C40" i="11"/>
  <c r="D39" i="11"/>
  <c r="C36" i="11"/>
  <c r="D35" i="11"/>
  <c r="C32" i="11"/>
  <c r="D31" i="11"/>
  <c r="C28" i="11"/>
  <c r="D27" i="11"/>
  <c r="C24" i="11"/>
  <c r="D23" i="11"/>
  <c r="C20" i="11"/>
  <c r="D19" i="11"/>
  <c r="C16" i="11"/>
  <c r="D15" i="11"/>
  <c r="C12" i="11"/>
  <c r="D11" i="11"/>
  <c r="C38" i="11"/>
  <c r="C37" i="11"/>
  <c r="D36" i="11"/>
  <c r="C30" i="11"/>
  <c r="C29" i="11"/>
  <c r="D28" i="11"/>
  <c r="C22" i="11"/>
  <c r="C21" i="11"/>
  <c r="D20" i="11"/>
  <c r="C14" i="11"/>
  <c r="C13" i="11"/>
  <c r="D12" i="11"/>
  <c r="D37" i="11"/>
  <c r="D29" i="11"/>
  <c r="D21" i="11"/>
  <c r="D13" i="11"/>
  <c r="C41" i="11"/>
  <c r="D33" i="11"/>
  <c r="D25" i="11"/>
  <c r="D17" i="11"/>
  <c r="D40" i="11"/>
  <c r="C34" i="11"/>
  <c r="C33" i="11"/>
  <c r="D32" i="11"/>
  <c r="C26" i="11"/>
  <c r="C25" i="11"/>
  <c r="D24" i="11"/>
  <c r="C18" i="11"/>
  <c r="C17" i="11"/>
  <c r="D16" i="11"/>
  <c r="C41" i="12"/>
  <c r="C38" i="12"/>
  <c r="D37" i="12"/>
  <c r="C34" i="12"/>
  <c r="D33" i="12"/>
  <c r="C30" i="12"/>
  <c r="D29" i="12"/>
  <c r="C26" i="12"/>
  <c r="D25" i="12"/>
  <c r="C22" i="12"/>
  <c r="D21" i="12"/>
  <c r="C18" i="12"/>
  <c r="D17" i="12"/>
  <c r="D40" i="12"/>
  <c r="C31" i="12"/>
  <c r="D30" i="12"/>
  <c r="C29" i="12"/>
  <c r="C28" i="12"/>
  <c r="D27" i="12"/>
  <c r="D24" i="12"/>
  <c r="C16" i="12"/>
  <c r="D15" i="12"/>
  <c r="C12" i="12"/>
  <c r="D11" i="12"/>
  <c r="C35" i="12"/>
  <c r="D34" i="12"/>
  <c r="C33" i="12"/>
  <c r="C32" i="12"/>
  <c r="D31" i="12"/>
  <c r="D28" i="12"/>
  <c r="C19" i="12"/>
  <c r="D18" i="12"/>
  <c r="C17" i="12"/>
  <c r="D16" i="12"/>
  <c r="C13" i="12"/>
  <c r="D12" i="12"/>
  <c r="C24" i="12"/>
  <c r="C23" i="12"/>
  <c r="D22" i="12"/>
  <c r="C21" i="12"/>
  <c r="C20" i="12"/>
  <c r="D19" i="12"/>
  <c r="C15" i="12"/>
  <c r="C14" i="12"/>
  <c r="D13" i="12"/>
  <c r="D32" i="12"/>
  <c r="C27" i="12"/>
  <c r="D23" i="12"/>
  <c r="D20" i="12"/>
  <c r="D14" i="12"/>
  <c r="D39" i="12"/>
  <c r="D36" i="12"/>
  <c r="C25" i="12"/>
  <c r="C40" i="12"/>
  <c r="C39" i="12"/>
  <c r="D38" i="12"/>
  <c r="C37" i="12"/>
  <c r="C36" i="12"/>
  <c r="D35" i="12"/>
  <c r="D26" i="12"/>
  <c r="C11" i="12"/>
  <c r="E41" i="12"/>
  <c r="C39" i="13"/>
  <c r="D38" i="13"/>
  <c r="C35" i="13"/>
  <c r="D34" i="13"/>
  <c r="C31" i="13"/>
  <c r="D30" i="13"/>
  <c r="C27" i="13"/>
  <c r="D26" i="13"/>
  <c r="C23" i="13"/>
  <c r="D22" i="13"/>
  <c r="C19" i="13"/>
  <c r="D18" i="13"/>
  <c r="C15" i="13"/>
  <c r="D14" i="13"/>
  <c r="C11" i="13"/>
  <c r="C32" i="13"/>
  <c r="D31" i="13"/>
  <c r="C30" i="13"/>
  <c r="C29" i="13"/>
  <c r="D28" i="13"/>
  <c r="D25" i="13"/>
  <c r="C16" i="13"/>
  <c r="D15" i="13"/>
  <c r="C14" i="13"/>
  <c r="C13" i="13"/>
  <c r="D12" i="13"/>
  <c r="C36" i="13"/>
  <c r="D35" i="13"/>
  <c r="C34" i="13"/>
  <c r="C33" i="13"/>
  <c r="D32" i="13"/>
  <c r="D29" i="13"/>
  <c r="C20" i="13"/>
  <c r="D19" i="13"/>
  <c r="C18" i="13"/>
  <c r="C17" i="13"/>
  <c r="D16" i="13"/>
  <c r="D13" i="13"/>
  <c r="D40" i="13"/>
  <c r="D37" i="13"/>
  <c r="C26" i="13"/>
  <c r="D17" i="13"/>
  <c r="C12" i="13"/>
  <c r="D39" i="13"/>
  <c r="C25" i="13"/>
  <c r="C24" i="13"/>
  <c r="D23" i="13"/>
  <c r="C22" i="13"/>
  <c r="C21" i="13"/>
  <c r="D20" i="13"/>
  <c r="D11" i="13"/>
  <c r="C41" i="13"/>
  <c r="C40" i="13"/>
  <c r="C38" i="13"/>
  <c r="C37" i="13"/>
  <c r="D36" i="13"/>
  <c r="D27" i="13"/>
  <c r="D33" i="13"/>
  <c r="C28" i="13"/>
  <c r="D24" i="13"/>
  <c r="D21" i="13"/>
  <c r="D41" i="13"/>
  <c r="G7" i="3"/>
  <c r="H4" i="3"/>
  <c r="A4" i="3"/>
  <c r="Y14" i="8" l="1"/>
  <c r="Y16" i="8"/>
  <c r="Y12" i="8"/>
  <c r="Y13" i="8"/>
  <c r="Y15" i="8"/>
  <c r="X17" i="8"/>
  <c r="U39" i="3"/>
  <c r="A39" i="3" s="1"/>
  <c r="D39" i="3" s="1"/>
  <c r="E41" i="3"/>
  <c r="C36" i="3"/>
  <c r="C32" i="3"/>
  <c r="C30" i="3"/>
  <c r="C26" i="3"/>
  <c r="C22" i="3"/>
  <c r="C18" i="3"/>
  <c r="C15" i="3"/>
  <c r="C12" i="3"/>
  <c r="C37" i="3"/>
  <c r="C33" i="3"/>
  <c r="D30" i="3"/>
  <c r="C27" i="3"/>
  <c r="C23" i="3"/>
  <c r="C19" i="3"/>
  <c r="C13" i="3"/>
  <c r="C38" i="3"/>
  <c r="C31" i="3"/>
  <c r="C24" i="3"/>
  <c r="C16" i="3"/>
  <c r="C11" i="3"/>
  <c r="C21" i="3"/>
  <c r="D14" i="3"/>
  <c r="C34" i="3"/>
  <c r="C25" i="3"/>
  <c r="C35" i="3"/>
  <c r="C20" i="3"/>
  <c r="C17" i="3"/>
  <c r="C39" i="3"/>
  <c r="C28" i="3"/>
  <c r="C14" i="3"/>
  <c r="C29" i="3"/>
  <c r="D31" i="3"/>
  <c r="D26" i="3"/>
  <c r="D38" i="3"/>
  <c r="D34" i="3"/>
  <c r="D36" i="3"/>
  <c r="D28" i="3"/>
  <c r="D20" i="3"/>
  <c r="D12" i="3"/>
  <c r="D33" i="3"/>
  <c r="D25" i="3"/>
  <c r="D17" i="3"/>
  <c r="D19" i="3"/>
  <c r="D11" i="3"/>
  <c r="D35" i="3"/>
  <c r="D15" i="3"/>
  <c r="D22" i="3"/>
  <c r="D18" i="3"/>
  <c r="D24" i="3"/>
  <c r="D29" i="3"/>
  <c r="D23" i="3"/>
  <c r="D32" i="3"/>
  <c r="D16" i="3"/>
  <c r="D21" i="3"/>
  <c r="D27" i="3"/>
  <c r="D37" i="3"/>
  <c r="D13" i="3"/>
  <c r="E7" i="2"/>
  <c r="B41" i="1" l="1"/>
  <c r="C41" i="1" s="1"/>
  <c r="K4" i="2" l="1"/>
  <c r="I45" i="2" s="1"/>
  <c r="J45" i="2" s="1"/>
  <c r="M17" i="1" l="1"/>
  <c r="O17" i="1"/>
  <c r="Q17" i="1"/>
  <c r="S17" i="1"/>
  <c r="U17" i="1"/>
  <c r="W17" i="1"/>
  <c r="Y17" i="1"/>
  <c r="AA17" i="1"/>
  <c r="AC17" i="1"/>
  <c r="AE17" i="1"/>
  <c r="AG17" i="1"/>
  <c r="M18" i="1"/>
  <c r="O18" i="1"/>
  <c r="Q18" i="1"/>
  <c r="S18" i="1"/>
  <c r="U18" i="1"/>
  <c r="W18" i="1"/>
  <c r="Y18" i="1"/>
  <c r="AA18" i="1"/>
  <c r="AC18" i="1"/>
  <c r="AE18" i="1"/>
  <c r="AG18" i="1"/>
  <c r="M19" i="1"/>
  <c r="O19" i="1"/>
  <c r="Q19" i="1"/>
  <c r="S19" i="1"/>
  <c r="U19" i="1"/>
  <c r="W19" i="1"/>
  <c r="Y19" i="1"/>
  <c r="AA19" i="1"/>
  <c r="AC19" i="1"/>
  <c r="AE19" i="1"/>
  <c r="AG19" i="1"/>
  <c r="M20" i="1"/>
  <c r="O20" i="1"/>
  <c r="Q20" i="1"/>
  <c r="S20" i="1"/>
  <c r="U20" i="1"/>
  <c r="W20" i="1"/>
  <c r="Y20" i="1"/>
  <c r="AA20" i="1"/>
  <c r="AC20" i="1"/>
  <c r="AE20" i="1"/>
  <c r="AG20" i="1"/>
  <c r="M21" i="1"/>
  <c r="O21" i="1"/>
  <c r="Q21" i="1"/>
  <c r="S21" i="1"/>
  <c r="U21" i="1"/>
  <c r="W21" i="1"/>
  <c r="Y21" i="1"/>
  <c r="AA21" i="1"/>
  <c r="AC21" i="1"/>
  <c r="AE21" i="1"/>
  <c r="AG21" i="1"/>
  <c r="M22" i="1"/>
  <c r="O22" i="1"/>
  <c r="Q22" i="1"/>
  <c r="S22" i="1"/>
  <c r="U22" i="1"/>
  <c r="W22" i="1"/>
  <c r="Y22" i="1"/>
  <c r="AA22" i="1"/>
  <c r="AC22" i="1"/>
  <c r="AE22" i="1"/>
  <c r="AG22" i="1"/>
  <c r="AG5" i="1"/>
  <c r="AG6" i="1"/>
  <c r="AG7" i="1"/>
  <c r="AG8" i="1"/>
  <c r="AG9" i="1"/>
  <c r="AG10" i="1"/>
  <c r="AG11" i="1"/>
  <c r="AG12" i="1"/>
  <c r="AG13" i="1"/>
  <c r="AG14" i="1"/>
  <c r="AG15" i="1"/>
  <c r="AG16" i="1"/>
  <c r="AE5" i="1"/>
  <c r="AE6" i="1"/>
  <c r="AE7" i="1"/>
  <c r="AE8" i="1"/>
  <c r="AE9" i="1"/>
  <c r="AE10" i="1"/>
  <c r="AE11" i="1"/>
  <c r="AE12" i="1"/>
  <c r="AE13" i="1"/>
  <c r="AE14" i="1"/>
  <c r="AE15" i="1"/>
  <c r="AE16" i="1"/>
  <c r="AC5" i="1"/>
  <c r="AC6" i="1"/>
  <c r="AC7" i="1"/>
  <c r="AC8" i="1"/>
  <c r="AC9" i="1"/>
  <c r="AC10" i="1"/>
  <c r="AC11" i="1"/>
  <c r="AC12" i="1"/>
  <c r="AC13" i="1"/>
  <c r="AC14" i="1"/>
  <c r="AC15" i="1"/>
  <c r="AC16" i="1"/>
  <c r="AA5" i="1"/>
  <c r="AA6" i="1"/>
  <c r="AA7" i="1"/>
  <c r="AA8" i="1"/>
  <c r="AA9" i="1"/>
  <c r="AA10" i="1"/>
  <c r="AA11" i="1"/>
  <c r="AA12" i="1"/>
  <c r="AA13" i="1"/>
  <c r="AA14" i="1"/>
  <c r="AA15" i="1"/>
  <c r="AA16" i="1"/>
  <c r="Y5" i="1"/>
  <c r="Y6" i="1"/>
  <c r="Y7" i="1"/>
  <c r="Y8" i="1"/>
  <c r="Y9" i="1"/>
  <c r="Y10" i="1"/>
  <c r="Y11" i="1"/>
  <c r="Y12" i="1"/>
  <c r="Y13" i="1"/>
  <c r="Y14" i="1"/>
  <c r="Y15" i="1"/>
  <c r="Y16" i="1"/>
  <c r="W5" i="1"/>
  <c r="W6" i="1"/>
  <c r="W7" i="1"/>
  <c r="W8" i="1"/>
  <c r="W9" i="1"/>
  <c r="W10" i="1"/>
  <c r="W11" i="1"/>
  <c r="W12" i="1"/>
  <c r="W13" i="1"/>
  <c r="W14" i="1"/>
  <c r="W15" i="1"/>
  <c r="W16" i="1"/>
  <c r="U5" i="1"/>
  <c r="U6" i="1"/>
  <c r="U7" i="1"/>
  <c r="U8" i="1"/>
  <c r="U9" i="1"/>
  <c r="U10" i="1"/>
  <c r="U11" i="1"/>
  <c r="U12" i="1"/>
  <c r="U13" i="1"/>
  <c r="U14" i="1"/>
  <c r="U15" i="1"/>
  <c r="U16" i="1"/>
  <c r="S5" i="1"/>
  <c r="S6" i="1"/>
  <c r="S7" i="1"/>
  <c r="S8" i="1"/>
  <c r="S9" i="1"/>
  <c r="S10" i="1"/>
  <c r="S11" i="1"/>
  <c r="S12" i="1"/>
  <c r="S13" i="1"/>
  <c r="S14" i="1"/>
  <c r="S15" i="1"/>
  <c r="S16" i="1"/>
  <c r="Q5" i="1"/>
  <c r="Q6" i="1"/>
  <c r="Q7" i="1"/>
  <c r="Q8" i="1"/>
  <c r="Q9" i="1"/>
  <c r="Q10" i="1"/>
  <c r="Q11" i="1"/>
  <c r="Q12" i="1"/>
  <c r="Q13" i="1"/>
  <c r="Q14" i="1"/>
  <c r="Q15" i="1"/>
  <c r="Q16" i="1"/>
  <c r="AG4" i="1"/>
  <c r="AE4" i="1"/>
  <c r="AC4" i="1"/>
  <c r="AA4" i="1"/>
  <c r="Y4" i="1"/>
  <c r="W4" i="1"/>
  <c r="U4" i="1"/>
  <c r="S4" i="1"/>
  <c r="Q4" i="1"/>
  <c r="O5" i="1"/>
  <c r="O6" i="1"/>
  <c r="O7" i="1"/>
  <c r="O8" i="1"/>
  <c r="O9" i="1"/>
  <c r="O10" i="1"/>
  <c r="O11" i="1"/>
  <c r="O12" i="1"/>
  <c r="O13" i="1"/>
  <c r="O14" i="1"/>
  <c r="O15" i="1"/>
  <c r="O16" i="1"/>
  <c r="O4" i="1"/>
  <c r="M5" i="1"/>
  <c r="M6" i="1"/>
  <c r="M7" i="1"/>
  <c r="M8" i="1"/>
  <c r="M9" i="1"/>
  <c r="M10" i="1"/>
  <c r="M11" i="1"/>
  <c r="M12" i="1"/>
  <c r="M13" i="1"/>
  <c r="M14" i="1"/>
  <c r="M15" i="1"/>
  <c r="M16" i="1"/>
  <c r="J10" i="1"/>
  <c r="I10" i="1"/>
  <c r="H10" i="1"/>
  <c r="J7" i="1"/>
  <c r="I7" i="1"/>
  <c r="H7" i="1"/>
  <c r="G7" i="2"/>
  <c r="H4" i="2"/>
  <c r="A4" i="2"/>
  <c r="V14" i="14"/>
  <c r="F14" i="14" s="1"/>
  <c r="V15" i="14"/>
  <c r="F15" i="14" s="1"/>
  <c r="V16" i="14"/>
  <c r="Z16" i="14" s="1"/>
  <c r="V17" i="14"/>
  <c r="F17" i="14" s="1"/>
  <c r="V18" i="14"/>
  <c r="F18" i="14" s="1"/>
  <c r="V19" i="14"/>
  <c r="Z19" i="14" s="1"/>
  <c r="V20" i="14"/>
  <c r="Z20" i="14" s="1"/>
  <c r="V1" i="14"/>
  <c r="V3" i="14" s="1"/>
  <c r="J651" i="14"/>
  <c r="J650" i="14"/>
  <c r="L649" i="14"/>
  <c r="M649" i="14" s="1"/>
  <c r="N649" i="14" s="1"/>
  <c r="J649" i="14"/>
  <c r="K649" i="14" s="1"/>
  <c r="K648" i="14"/>
  <c r="J648" i="14"/>
  <c r="J647" i="14"/>
  <c r="J646" i="14"/>
  <c r="L645" i="14"/>
  <c r="M645" i="14" s="1"/>
  <c r="N645" i="14" s="1"/>
  <c r="J645" i="14"/>
  <c r="K645" i="14" s="1"/>
  <c r="K644" i="14"/>
  <c r="J644" i="14"/>
  <c r="J643" i="14"/>
  <c r="J642" i="14"/>
  <c r="L641" i="14"/>
  <c r="M641" i="14" s="1"/>
  <c r="N641" i="14" s="1"/>
  <c r="J641" i="14"/>
  <c r="K641" i="14" s="1"/>
  <c r="K640" i="14"/>
  <c r="J640" i="14"/>
  <c r="J639" i="14"/>
  <c r="J638" i="14"/>
  <c r="L637" i="14"/>
  <c r="M637" i="14" s="1"/>
  <c r="N637" i="14" s="1"/>
  <c r="J637" i="14"/>
  <c r="K637" i="14" s="1"/>
  <c r="K636" i="14"/>
  <c r="J636" i="14"/>
  <c r="J635" i="14"/>
  <c r="J634" i="14"/>
  <c r="L633" i="14"/>
  <c r="M633" i="14" s="1"/>
  <c r="N633" i="14" s="1"/>
  <c r="J633" i="14"/>
  <c r="K633" i="14" s="1"/>
  <c r="K632" i="14"/>
  <c r="J632" i="14"/>
  <c r="J631" i="14"/>
  <c r="J630" i="14"/>
  <c r="K630" i="14" s="1"/>
  <c r="K629" i="14"/>
  <c r="J629" i="14"/>
  <c r="L628" i="14"/>
  <c r="J628" i="14"/>
  <c r="K628" i="14" s="1"/>
  <c r="J627" i="14"/>
  <c r="K626" i="14"/>
  <c r="J626" i="14"/>
  <c r="L626" i="14"/>
  <c r="K625" i="14"/>
  <c r="J625" i="14"/>
  <c r="L625" i="14" s="1"/>
  <c r="M624" i="14"/>
  <c r="N624" i="14" s="1"/>
  <c r="L624" i="14"/>
  <c r="J624" i="14"/>
  <c r="K624" i="14" s="1"/>
  <c r="J623" i="14"/>
  <c r="K622" i="14"/>
  <c r="J622" i="14"/>
  <c r="J621" i="14"/>
  <c r="K620" i="14"/>
  <c r="J620" i="14"/>
  <c r="J619" i="14"/>
  <c r="J618" i="14"/>
  <c r="K617" i="14"/>
  <c r="J617" i="14"/>
  <c r="M616" i="14"/>
  <c r="N616" i="14" s="1"/>
  <c r="L616" i="14"/>
  <c r="J616" i="14"/>
  <c r="K616" i="14" s="1"/>
  <c r="J615" i="14"/>
  <c r="K614" i="14"/>
  <c r="J614" i="14"/>
  <c r="L613" i="14"/>
  <c r="J613" i="14"/>
  <c r="K613" i="14" s="1"/>
  <c r="K612" i="14"/>
  <c r="J612" i="14"/>
  <c r="J611" i="14"/>
  <c r="J610" i="14"/>
  <c r="K609" i="14"/>
  <c r="J609" i="14"/>
  <c r="L608" i="14"/>
  <c r="J608" i="14"/>
  <c r="K608" i="14" s="1"/>
  <c r="L607" i="14"/>
  <c r="J607" i="14"/>
  <c r="K607" i="14" s="1"/>
  <c r="K606" i="14"/>
  <c r="M606" i="14" s="1"/>
  <c r="N606" i="14" s="1"/>
  <c r="J606" i="14"/>
  <c r="K605" i="14"/>
  <c r="J605" i="14"/>
  <c r="K604" i="14"/>
  <c r="J604" i="14"/>
  <c r="L603" i="14"/>
  <c r="J603" i="14"/>
  <c r="K603" i="14" s="1"/>
  <c r="K602" i="14"/>
  <c r="J602" i="14"/>
  <c r="K601" i="14"/>
  <c r="J601" i="14"/>
  <c r="K600" i="14"/>
  <c r="J600" i="14"/>
  <c r="L599" i="14"/>
  <c r="J599" i="14"/>
  <c r="K599" i="14" s="1"/>
  <c r="K598" i="14"/>
  <c r="J598" i="14"/>
  <c r="K597" i="14"/>
  <c r="J597" i="14"/>
  <c r="K596" i="14"/>
  <c r="J596" i="14"/>
  <c r="L595" i="14"/>
  <c r="J595" i="14"/>
  <c r="K595" i="14" s="1"/>
  <c r="K594" i="14"/>
  <c r="L594" i="14" s="1"/>
  <c r="M594" i="14" s="1"/>
  <c r="N594" i="14" s="1"/>
  <c r="J594" i="14"/>
  <c r="K593" i="14"/>
  <c r="J593" i="14"/>
  <c r="K592" i="14"/>
  <c r="J592" i="14"/>
  <c r="L591" i="14"/>
  <c r="J591" i="14"/>
  <c r="K591" i="14" s="1"/>
  <c r="K590" i="14"/>
  <c r="M590" i="14" s="1"/>
  <c r="N590" i="14" s="1"/>
  <c r="J590" i="14"/>
  <c r="K589" i="14"/>
  <c r="J589" i="14"/>
  <c r="K588" i="14"/>
  <c r="J588" i="14"/>
  <c r="L587" i="14"/>
  <c r="J587" i="14"/>
  <c r="K587" i="14" s="1"/>
  <c r="K586" i="14"/>
  <c r="J586" i="14"/>
  <c r="K585" i="14"/>
  <c r="J585" i="14"/>
  <c r="K584" i="14"/>
  <c r="J584" i="14"/>
  <c r="L583" i="14"/>
  <c r="J583" i="14"/>
  <c r="K583" i="14" s="1"/>
  <c r="K582" i="14"/>
  <c r="J582" i="14"/>
  <c r="K581" i="14"/>
  <c r="J581" i="14"/>
  <c r="K580" i="14"/>
  <c r="J580" i="14"/>
  <c r="L579" i="14"/>
  <c r="J579" i="14"/>
  <c r="K579" i="14" s="1"/>
  <c r="K578" i="14"/>
  <c r="L578" i="14" s="1"/>
  <c r="M578" i="14" s="1"/>
  <c r="N578" i="14" s="1"/>
  <c r="J578" i="14"/>
  <c r="K577" i="14"/>
  <c r="J577" i="14"/>
  <c r="K576" i="14"/>
  <c r="J576" i="14"/>
  <c r="L575" i="14"/>
  <c r="J575" i="14"/>
  <c r="K575" i="14" s="1"/>
  <c r="K574" i="14"/>
  <c r="M574" i="14" s="1"/>
  <c r="N574" i="14" s="1"/>
  <c r="J574" i="14"/>
  <c r="K573" i="14"/>
  <c r="J573" i="14"/>
  <c r="K572" i="14"/>
  <c r="J572" i="14"/>
  <c r="L571" i="14"/>
  <c r="J571" i="14"/>
  <c r="K571" i="14" s="1"/>
  <c r="K570" i="14"/>
  <c r="J570" i="14"/>
  <c r="K569" i="14"/>
  <c r="J569" i="14"/>
  <c r="K568" i="14"/>
  <c r="J568" i="14"/>
  <c r="L567" i="14"/>
  <c r="J567" i="14"/>
  <c r="K567" i="14" s="1"/>
  <c r="L566" i="14"/>
  <c r="M566" i="14" s="1"/>
  <c r="N566" i="14" s="1"/>
  <c r="J566" i="14"/>
  <c r="K566" i="14"/>
  <c r="J565" i="14"/>
  <c r="J564" i="14"/>
  <c r="K564" i="14"/>
  <c r="L564" i="14" s="1"/>
  <c r="J563" i="14"/>
  <c r="L562" i="14"/>
  <c r="J562" i="14"/>
  <c r="K562" i="14"/>
  <c r="K561" i="14"/>
  <c r="J561" i="14"/>
  <c r="L561" i="14" s="1"/>
  <c r="J560" i="14"/>
  <c r="K560" i="14" s="1"/>
  <c r="L560" i="14" s="1"/>
  <c r="J559" i="14"/>
  <c r="J558" i="14"/>
  <c r="K558" i="14" s="1"/>
  <c r="L558" i="14" s="1"/>
  <c r="K557" i="14"/>
  <c r="J557" i="14"/>
  <c r="L557" i="14"/>
  <c r="J556" i="14"/>
  <c r="K556" i="14" s="1"/>
  <c r="K555" i="14"/>
  <c r="J555" i="14"/>
  <c r="L554" i="14"/>
  <c r="J554" i="14"/>
  <c r="K554" i="14" s="1"/>
  <c r="J553" i="14"/>
  <c r="K553" i="14" s="1"/>
  <c r="J552" i="14"/>
  <c r="K552" i="14"/>
  <c r="K551" i="14"/>
  <c r="J551" i="14"/>
  <c r="J550" i="14"/>
  <c r="K550" i="14"/>
  <c r="J549" i="14"/>
  <c r="J548" i="14"/>
  <c r="K548" i="14"/>
  <c r="J547" i="14"/>
  <c r="K547" i="14" s="1"/>
  <c r="J546" i="14"/>
  <c r="K546" i="14"/>
  <c r="L546" i="14" s="1"/>
  <c r="J545" i="14"/>
  <c r="K545" i="14" s="1"/>
  <c r="L545" i="14" s="1"/>
  <c r="J544" i="14"/>
  <c r="K544" i="14" s="1"/>
  <c r="J543" i="14"/>
  <c r="L542" i="14"/>
  <c r="J542" i="14"/>
  <c r="K542" i="14" s="1"/>
  <c r="M542" i="14"/>
  <c r="N542" i="14"/>
  <c r="J541" i="14"/>
  <c r="J540" i="14"/>
  <c r="K540" i="14"/>
  <c r="J539" i="14"/>
  <c r="K539" i="14" s="1"/>
  <c r="J538" i="14"/>
  <c r="K538" i="14" s="1"/>
  <c r="K537" i="14"/>
  <c r="J537" i="14"/>
  <c r="J536" i="14"/>
  <c r="K536" i="14"/>
  <c r="J535" i="14"/>
  <c r="K535" i="14" s="1"/>
  <c r="J534" i="14"/>
  <c r="J533" i="14"/>
  <c r="K532" i="14"/>
  <c r="L532" i="14"/>
  <c r="J532" i="14"/>
  <c r="J531" i="14"/>
  <c r="K531" i="14"/>
  <c r="J530" i="14"/>
  <c r="J529" i="14"/>
  <c r="L528" i="14"/>
  <c r="J528" i="14"/>
  <c r="K528" i="14" s="1"/>
  <c r="J527" i="14"/>
  <c r="K527" i="14" s="1"/>
  <c r="K526" i="14"/>
  <c r="J526" i="14"/>
  <c r="J525" i="14"/>
  <c r="J524" i="14"/>
  <c r="K524" i="14" s="1"/>
  <c r="J523" i="14"/>
  <c r="K523" i="14" s="1"/>
  <c r="J522" i="14"/>
  <c r="K522" i="14" s="1"/>
  <c r="J521" i="14"/>
  <c r="K520" i="14"/>
  <c r="J520" i="14"/>
  <c r="J519" i="14"/>
  <c r="K519" i="14" s="1"/>
  <c r="J518" i="14"/>
  <c r="K517" i="14"/>
  <c r="J517" i="14"/>
  <c r="J516" i="14"/>
  <c r="J515" i="14"/>
  <c r="K515" i="14" s="1"/>
  <c r="J514" i="14"/>
  <c r="L513" i="14"/>
  <c r="K513" i="14"/>
  <c r="J513" i="14"/>
  <c r="L512" i="14"/>
  <c r="J512" i="14"/>
  <c r="K512" i="14" s="1"/>
  <c r="J511" i="14"/>
  <c r="K511" i="14" s="1"/>
  <c r="J510" i="14"/>
  <c r="L509" i="14"/>
  <c r="K509" i="14"/>
  <c r="J509" i="14"/>
  <c r="K508" i="14"/>
  <c r="L508" i="14"/>
  <c r="J508" i="14"/>
  <c r="J507" i="14"/>
  <c r="K507" i="14"/>
  <c r="J506" i="14"/>
  <c r="J505" i="14"/>
  <c r="K504" i="14"/>
  <c r="L504" i="14" s="1"/>
  <c r="J504" i="14"/>
  <c r="J503" i="14"/>
  <c r="K503" i="14" s="1"/>
  <c r="J502" i="14"/>
  <c r="J501" i="14"/>
  <c r="J500" i="14"/>
  <c r="J499" i="14"/>
  <c r="K499" i="14" s="1"/>
  <c r="J498" i="14"/>
  <c r="L497" i="14"/>
  <c r="K497" i="14"/>
  <c r="J497" i="14"/>
  <c r="J496" i="14"/>
  <c r="J495" i="14"/>
  <c r="K495" i="14" s="1"/>
  <c r="J494" i="14"/>
  <c r="L493" i="14"/>
  <c r="K493" i="14"/>
  <c r="J493" i="14"/>
  <c r="K492" i="14"/>
  <c r="L492" i="14"/>
  <c r="J492" i="14"/>
  <c r="J491" i="14"/>
  <c r="K491" i="14"/>
  <c r="J490" i="14"/>
  <c r="J489" i="14"/>
  <c r="K488" i="14"/>
  <c r="L488" i="14" s="1"/>
  <c r="J488" i="14"/>
  <c r="J487" i="14"/>
  <c r="K487" i="14"/>
  <c r="J486" i="14"/>
  <c r="J485" i="14"/>
  <c r="K484" i="14"/>
  <c r="J484" i="14"/>
  <c r="J483" i="14"/>
  <c r="J482" i="14"/>
  <c r="J481" i="14"/>
  <c r="K480" i="14"/>
  <c r="J480" i="14"/>
  <c r="J479" i="14"/>
  <c r="K478" i="14"/>
  <c r="J478" i="14"/>
  <c r="J477" i="14"/>
  <c r="J476" i="14"/>
  <c r="J475" i="14"/>
  <c r="J474" i="14"/>
  <c r="J473" i="14"/>
  <c r="J472" i="14"/>
  <c r="J471" i="14"/>
  <c r="K470" i="14"/>
  <c r="J470" i="14"/>
  <c r="J469" i="14"/>
  <c r="J468" i="14"/>
  <c r="J467" i="14"/>
  <c r="J466" i="14"/>
  <c r="J465" i="14"/>
  <c r="J464" i="14"/>
  <c r="J463" i="14"/>
  <c r="K462" i="14"/>
  <c r="J462" i="14"/>
  <c r="J461" i="14"/>
  <c r="J460" i="14"/>
  <c r="J459" i="14"/>
  <c r="K458" i="14"/>
  <c r="J458" i="14"/>
  <c r="J457" i="14"/>
  <c r="J456" i="14"/>
  <c r="J455" i="14"/>
  <c r="K454" i="14"/>
  <c r="J454" i="14"/>
  <c r="J453" i="14"/>
  <c r="J452" i="14"/>
  <c r="J451" i="14"/>
  <c r="J450" i="14"/>
  <c r="K450" i="14" s="1"/>
  <c r="J449" i="14"/>
  <c r="J448" i="14"/>
  <c r="J447" i="14"/>
  <c r="K447" i="14" s="1"/>
  <c r="K446" i="14"/>
  <c r="J446" i="14"/>
  <c r="J445" i="14"/>
  <c r="J444" i="14"/>
  <c r="K443" i="14"/>
  <c r="J443" i="14"/>
  <c r="K442" i="14"/>
  <c r="J442" i="14"/>
  <c r="L442" i="14" s="1"/>
  <c r="J441" i="14"/>
  <c r="J440" i="14"/>
  <c r="K439" i="14"/>
  <c r="J439" i="14"/>
  <c r="K438" i="14"/>
  <c r="J438" i="14"/>
  <c r="L438" i="14" s="1"/>
  <c r="M438" i="14" s="1"/>
  <c r="N438" i="14" s="1"/>
  <c r="J437" i="14"/>
  <c r="J436" i="14"/>
  <c r="K435" i="14"/>
  <c r="J435" i="14"/>
  <c r="J434" i="14"/>
  <c r="K434" i="14" s="1"/>
  <c r="J433" i="14"/>
  <c r="J432" i="14"/>
  <c r="J431" i="14"/>
  <c r="K431" i="14" s="1"/>
  <c r="L430" i="14"/>
  <c r="K430" i="14"/>
  <c r="J430" i="14"/>
  <c r="J429" i="14"/>
  <c r="K429" i="14"/>
  <c r="J428" i="14"/>
  <c r="K427" i="14"/>
  <c r="J427" i="14"/>
  <c r="J426" i="14"/>
  <c r="J425" i="14"/>
  <c r="J424" i="14"/>
  <c r="K423" i="14"/>
  <c r="J423" i="14"/>
  <c r="J422" i="14"/>
  <c r="J421" i="14"/>
  <c r="J420" i="14"/>
  <c r="J419" i="14"/>
  <c r="K419" i="14" s="1"/>
  <c r="L418" i="14"/>
  <c r="J418" i="14"/>
  <c r="K418" i="14" s="1"/>
  <c r="J417" i="14"/>
  <c r="K417" i="14"/>
  <c r="J416" i="14"/>
  <c r="J415" i="14"/>
  <c r="K415" i="14" s="1"/>
  <c r="J414" i="14"/>
  <c r="J413" i="14"/>
  <c r="J412" i="14"/>
  <c r="K411" i="14"/>
  <c r="J411" i="14"/>
  <c r="L411" i="14" s="1"/>
  <c r="J410" i="14"/>
  <c r="K410" i="14" s="1"/>
  <c r="M409" i="14"/>
  <c r="N409" i="14" s="1"/>
  <c r="J409" i="14"/>
  <c r="K409" i="14"/>
  <c r="L409" i="14"/>
  <c r="J408" i="14"/>
  <c r="J407" i="14"/>
  <c r="K407" i="14" s="1"/>
  <c r="L406" i="14"/>
  <c r="K406" i="14"/>
  <c r="J406" i="14"/>
  <c r="L405" i="14"/>
  <c r="J405" i="14"/>
  <c r="K405" i="14" s="1"/>
  <c r="J404" i="14"/>
  <c r="K403" i="14"/>
  <c r="J403" i="14"/>
  <c r="K402" i="14"/>
  <c r="L402" i="14" s="1"/>
  <c r="J402" i="14"/>
  <c r="J401" i="14"/>
  <c r="K401" i="14"/>
  <c r="J400" i="14"/>
  <c r="K399" i="14"/>
  <c r="J399" i="14"/>
  <c r="J398" i="14"/>
  <c r="J397" i="14"/>
  <c r="K397" i="14"/>
  <c r="L397" i="14" s="1"/>
  <c r="M397" i="14"/>
  <c r="N397" i="14" s="1"/>
  <c r="J396" i="14"/>
  <c r="K395" i="14"/>
  <c r="J395" i="14"/>
  <c r="J394" i="14"/>
  <c r="L393" i="14"/>
  <c r="J393" i="14"/>
  <c r="K393" i="14" s="1"/>
  <c r="M393" i="14" s="1"/>
  <c r="N393" i="14" s="1"/>
  <c r="J392" i="14"/>
  <c r="J391" i="14"/>
  <c r="K391" i="14" s="1"/>
  <c r="K390" i="14"/>
  <c r="L390" i="14" s="1"/>
  <c r="J390" i="14"/>
  <c r="J389" i="14"/>
  <c r="K389" i="14"/>
  <c r="L389" i="14" s="1"/>
  <c r="J388" i="14"/>
  <c r="K387" i="14"/>
  <c r="J387" i="14"/>
  <c r="L386" i="14"/>
  <c r="K386" i="14"/>
  <c r="J386" i="14"/>
  <c r="J385" i="14"/>
  <c r="K385" i="14"/>
  <c r="J384" i="14"/>
  <c r="K384" i="14" s="1"/>
  <c r="K383" i="14"/>
  <c r="L383" i="14" s="1"/>
  <c r="J383" i="14"/>
  <c r="J382" i="14"/>
  <c r="K382" i="14" s="1"/>
  <c r="J381" i="14"/>
  <c r="K380" i="14"/>
  <c r="J380" i="14"/>
  <c r="K379" i="14"/>
  <c r="J379" i="14"/>
  <c r="L379" i="14"/>
  <c r="K378" i="14"/>
  <c r="J378" i="14"/>
  <c r="J377" i="14"/>
  <c r="K377" i="14"/>
  <c r="J376" i="14"/>
  <c r="K376" i="14" s="1"/>
  <c r="K375" i="14"/>
  <c r="L375" i="14" s="1"/>
  <c r="J375" i="14"/>
  <c r="J374" i="14"/>
  <c r="K374" i="14" s="1"/>
  <c r="J373" i="14"/>
  <c r="K372" i="14"/>
  <c r="J372" i="14"/>
  <c r="K371" i="14"/>
  <c r="J371" i="14"/>
  <c r="L371" i="14"/>
  <c r="K370" i="14"/>
  <c r="J370" i="14"/>
  <c r="J369" i="14"/>
  <c r="K369" i="14"/>
  <c r="J368" i="14"/>
  <c r="K368" i="14" s="1"/>
  <c r="K367" i="14"/>
  <c r="L367" i="14" s="1"/>
  <c r="J367" i="14"/>
  <c r="J366" i="14"/>
  <c r="K366" i="14" s="1"/>
  <c r="J365" i="14"/>
  <c r="K364" i="14"/>
  <c r="J364" i="14"/>
  <c r="K363" i="14"/>
  <c r="J363" i="14"/>
  <c r="L363" i="14"/>
  <c r="K362" i="14"/>
  <c r="J362" i="14"/>
  <c r="J361" i="14"/>
  <c r="K361" i="14"/>
  <c r="J360" i="14"/>
  <c r="K360" i="14" s="1"/>
  <c r="K359" i="14"/>
  <c r="L359" i="14" s="1"/>
  <c r="J359" i="14"/>
  <c r="J358" i="14"/>
  <c r="K358" i="14" s="1"/>
  <c r="J357" i="14"/>
  <c r="K356" i="14"/>
  <c r="J356" i="14"/>
  <c r="K355" i="14"/>
  <c r="J355" i="14"/>
  <c r="L355" i="14"/>
  <c r="K354" i="14"/>
  <c r="J354" i="14"/>
  <c r="J353" i="14"/>
  <c r="K353" i="14"/>
  <c r="J352" i="14"/>
  <c r="K352" i="14" s="1"/>
  <c r="K351" i="14"/>
  <c r="L351" i="14" s="1"/>
  <c r="J351" i="14"/>
  <c r="J350" i="14"/>
  <c r="K350" i="14" s="1"/>
  <c r="J349" i="14"/>
  <c r="K348" i="14"/>
  <c r="J348" i="14"/>
  <c r="K347" i="14"/>
  <c r="J347" i="14"/>
  <c r="L347" i="14"/>
  <c r="K346" i="14"/>
  <c r="J346" i="14"/>
  <c r="J345" i="14"/>
  <c r="K345" i="14"/>
  <c r="J344" i="14"/>
  <c r="K344" i="14" s="1"/>
  <c r="K343" i="14"/>
  <c r="L343" i="14" s="1"/>
  <c r="J343" i="14"/>
  <c r="J342" i="14"/>
  <c r="K342" i="14" s="1"/>
  <c r="J341" i="14"/>
  <c r="K340" i="14"/>
  <c r="J340" i="14"/>
  <c r="K339" i="14"/>
  <c r="J339" i="14"/>
  <c r="L339" i="14"/>
  <c r="K338" i="14"/>
  <c r="J338" i="14"/>
  <c r="J337" i="14"/>
  <c r="K337" i="14"/>
  <c r="J336" i="14"/>
  <c r="K336" i="14" s="1"/>
  <c r="K335" i="14"/>
  <c r="L335" i="14" s="1"/>
  <c r="J335" i="14"/>
  <c r="K334" i="14"/>
  <c r="L334" i="14" s="1"/>
  <c r="J334" i="14"/>
  <c r="L333" i="14"/>
  <c r="J333" i="14"/>
  <c r="K333" i="14" s="1"/>
  <c r="M333" i="14" s="1"/>
  <c r="N333" i="14" s="1"/>
  <c r="J332" i="14"/>
  <c r="K331" i="14"/>
  <c r="L331" i="14" s="1"/>
  <c r="J331" i="14"/>
  <c r="K330" i="14"/>
  <c r="L330" i="14" s="1"/>
  <c r="J330" i="14"/>
  <c r="J329" i="14"/>
  <c r="K329" i="14" s="1"/>
  <c r="J328" i="14"/>
  <c r="K327" i="14"/>
  <c r="J327" i="14"/>
  <c r="J326" i="14"/>
  <c r="J325" i="14"/>
  <c r="J324" i="14"/>
  <c r="J323" i="14"/>
  <c r="K323" i="14" s="1"/>
  <c r="K322" i="14"/>
  <c r="J322" i="14"/>
  <c r="L322" i="14" s="1"/>
  <c r="L321" i="14"/>
  <c r="K321" i="14"/>
  <c r="J321" i="14"/>
  <c r="J320" i="14"/>
  <c r="K319" i="14"/>
  <c r="J319" i="14"/>
  <c r="J318" i="14"/>
  <c r="J317" i="14"/>
  <c r="J316" i="14"/>
  <c r="K315" i="14"/>
  <c r="J315" i="14"/>
  <c r="L315" i="14"/>
  <c r="M315" i="14" s="1"/>
  <c r="N315" i="14" s="1"/>
  <c r="K314" i="14"/>
  <c r="J314" i="14"/>
  <c r="K313" i="14"/>
  <c r="J313" i="14"/>
  <c r="J312" i="14"/>
  <c r="J311" i="14"/>
  <c r="K311" i="14" s="1"/>
  <c r="J310" i="14"/>
  <c r="K309" i="14"/>
  <c r="J309" i="14"/>
  <c r="J308" i="14"/>
  <c r="J307" i="14"/>
  <c r="K307" i="14" s="1"/>
  <c r="K306" i="14"/>
  <c r="J306" i="14"/>
  <c r="L306" i="14" s="1"/>
  <c r="J305" i="14"/>
  <c r="J304" i="14"/>
  <c r="K303" i="14"/>
  <c r="J303" i="14"/>
  <c r="J302" i="14"/>
  <c r="K302" i="14" s="1"/>
  <c r="K301" i="14"/>
  <c r="J301" i="14"/>
  <c r="J300" i="14"/>
  <c r="J299" i="14"/>
  <c r="L298" i="14"/>
  <c r="K298" i="14"/>
  <c r="J298" i="14"/>
  <c r="J297" i="14"/>
  <c r="K297" i="14" s="1"/>
  <c r="J296" i="14"/>
  <c r="J295" i="14"/>
  <c r="K294" i="14"/>
  <c r="J294" i="14"/>
  <c r="K293" i="14"/>
  <c r="J293" i="14"/>
  <c r="J292" i="14"/>
  <c r="J291" i="14"/>
  <c r="K291" i="14" s="1"/>
  <c r="K290" i="14"/>
  <c r="J290" i="14"/>
  <c r="M289" i="14"/>
  <c r="N289" i="14"/>
  <c r="L289" i="14"/>
  <c r="J289" i="14"/>
  <c r="K289" i="14" s="1"/>
  <c r="J288" i="14"/>
  <c r="K287" i="14"/>
  <c r="J287" i="14"/>
  <c r="J286" i="14"/>
  <c r="K286" i="14" s="1"/>
  <c r="J285" i="14"/>
  <c r="K285" i="14" s="1"/>
  <c r="J284" i="14"/>
  <c r="J283" i="14"/>
  <c r="K282" i="14"/>
  <c r="L282" i="14" s="1"/>
  <c r="J282" i="14"/>
  <c r="J281" i="14"/>
  <c r="J280" i="14"/>
  <c r="J279" i="14"/>
  <c r="K278" i="14"/>
  <c r="J278" i="14"/>
  <c r="J277" i="14"/>
  <c r="J276" i="14"/>
  <c r="J275" i="14"/>
  <c r="K275" i="14" s="1"/>
  <c r="K274" i="14"/>
  <c r="J274" i="14"/>
  <c r="N273" i="14"/>
  <c r="L273" i="14"/>
  <c r="J273" i="14"/>
  <c r="K273" i="14" s="1"/>
  <c r="M273" i="14" s="1"/>
  <c r="J272" i="14"/>
  <c r="K271" i="14"/>
  <c r="J271" i="14"/>
  <c r="K270" i="14"/>
  <c r="J270" i="14"/>
  <c r="L269" i="14"/>
  <c r="K269" i="14"/>
  <c r="J269" i="14"/>
  <c r="J268" i="14"/>
  <c r="J267" i="14"/>
  <c r="L266" i="14"/>
  <c r="K266" i="14"/>
  <c r="J266" i="14"/>
  <c r="J265" i="14"/>
  <c r="K265" i="14" s="1"/>
  <c r="J264" i="14"/>
  <c r="J263" i="14"/>
  <c r="J262" i="14"/>
  <c r="J261" i="14"/>
  <c r="J260" i="14"/>
  <c r="K259" i="14"/>
  <c r="J259" i="14"/>
  <c r="K258" i="14"/>
  <c r="J258" i="14"/>
  <c r="J257" i="14"/>
  <c r="K257" i="14" s="1"/>
  <c r="J256" i="14"/>
  <c r="K255" i="14"/>
  <c r="J255" i="14"/>
  <c r="K254" i="14"/>
  <c r="J254" i="14"/>
  <c r="K253" i="14"/>
  <c r="J253" i="14"/>
  <c r="L253" i="14" s="1"/>
  <c r="J252" i="14"/>
  <c r="J251" i="14"/>
  <c r="L250" i="14"/>
  <c r="K250" i="14"/>
  <c r="J250" i="14"/>
  <c r="L249" i="14"/>
  <c r="M249" i="14" s="1"/>
  <c r="N249" i="14" s="1"/>
  <c r="J249" i="14"/>
  <c r="K249" i="14" s="1"/>
  <c r="J248" i="14"/>
  <c r="J247" i="14"/>
  <c r="K246" i="14"/>
  <c r="J246" i="14"/>
  <c r="L245" i="14"/>
  <c r="M245" i="14" s="1"/>
  <c r="N245" i="14" s="1"/>
  <c r="K245" i="14"/>
  <c r="J245" i="14"/>
  <c r="J244" i="14"/>
  <c r="K243" i="14"/>
  <c r="J243" i="14"/>
  <c r="K242" i="14"/>
  <c r="J242" i="14"/>
  <c r="J241" i="14"/>
  <c r="J240" i="14"/>
  <c r="K239" i="14"/>
  <c r="J239" i="14"/>
  <c r="J238" i="14"/>
  <c r="K238" i="14" s="1"/>
  <c r="J237" i="14"/>
  <c r="J236" i="14"/>
  <c r="J235" i="14"/>
  <c r="K234" i="14"/>
  <c r="L234" i="14" s="1"/>
  <c r="J234" i="14"/>
  <c r="K233" i="14"/>
  <c r="J233" i="14"/>
  <c r="L233" i="14" s="1"/>
  <c r="M233" i="14" s="1"/>
  <c r="N233" i="14" s="1"/>
  <c r="J232" i="14"/>
  <c r="K231" i="14"/>
  <c r="J231" i="14"/>
  <c r="L230" i="14"/>
  <c r="K230" i="14"/>
  <c r="J230" i="14"/>
  <c r="J229" i="14"/>
  <c r="K229" i="14" s="1"/>
  <c r="J228" i="14"/>
  <c r="K228" i="14"/>
  <c r="K227" i="14"/>
  <c r="J227" i="14"/>
  <c r="J226" i="14"/>
  <c r="J225" i="14"/>
  <c r="K225" i="14" s="1"/>
  <c r="J224" i="14"/>
  <c r="K223" i="14"/>
  <c r="J223" i="14"/>
  <c r="L222" i="14"/>
  <c r="K222" i="14"/>
  <c r="J222" i="14"/>
  <c r="J221" i="14"/>
  <c r="J220" i="14"/>
  <c r="K220" i="14"/>
  <c r="K219" i="14"/>
  <c r="J219" i="14"/>
  <c r="J218" i="14"/>
  <c r="J217" i="14"/>
  <c r="K217" i="14" s="1"/>
  <c r="J216" i="14"/>
  <c r="K215" i="14"/>
  <c r="J215" i="14"/>
  <c r="L214" i="14"/>
  <c r="K214" i="14"/>
  <c r="J214" i="14"/>
  <c r="J213" i="14"/>
  <c r="K213" i="14" s="1"/>
  <c r="J212" i="14"/>
  <c r="K212" i="14"/>
  <c r="K211" i="14"/>
  <c r="L211" i="14" s="1"/>
  <c r="J211" i="14"/>
  <c r="J210" i="14"/>
  <c r="J209" i="14"/>
  <c r="K209" i="14" s="1"/>
  <c r="J208" i="14"/>
  <c r="K207" i="14"/>
  <c r="J207" i="14"/>
  <c r="L206" i="14"/>
  <c r="K206" i="14"/>
  <c r="J206" i="14"/>
  <c r="J205" i="14"/>
  <c r="K205" i="14" s="1"/>
  <c r="J204" i="14"/>
  <c r="K204" i="14"/>
  <c r="K203" i="14"/>
  <c r="J203" i="14"/>
  <c r="J202" i="14"/>
  <c r="J201" i="14"/>
  <c r="K201" i="14" s="1"/>
  <c r="J200" i="14"/>
  <c r="K199" i="14"/>
  <c r="J199" i="14"/>
  <c r="L198" i="14"/>
  <c r="K198" i="14"/>
  <c r="J198" i="14"/>
  <c r="J197" i="14"/>
  <c r="K197" i="14" s="1"/>
  <c r="J196" i="14"/>
  <c r="K196" i="14"/>
  <c r="K195" i="14"/>
  <c r="J195" i="14"/>
  <c r="J194" i="14"/>
  <c r="J193" i="14"/>
  <c r="K193" i="14" s="1"/>
  <c r="J192" i="14"/>
  <c r="K191" i="14"/>
  <c r="J191" i="14"/>
  <c r="J190" i="14"/>
  <c r="K189" i="14"/>
  <c r="J189" i="14"/>
  <c r="J188" i="14"/>
  <c r="K187" i="14"/>
  <c r="J187" i="14"/>
  <c r="J186" i="14"/>
  <c r="K185" i="14"/>
  <c r="J185" i="14"/>
  <c r="J184" i="14"/>
  <c r="K183" i="14"/>
  <c r="J183" i="14"/>
  <c r="J182" i="14"/>
  <c r="K181" i="14"/>
  <c r="J181" i="14"/>
  <c r="J180" i="14"/>
  <c r="K179" i="14"/>
  <c r="J179" i="14"/>
  <c r="J178" i="14"/>
  <c r="K177" i="14"/>
  <c r="J177" i="14"/>
  <c r="J176" i="14"/>
  <c r="K175" i="14"/>
  <c r="J175" i="14"/>
  <c r="J174" i="14"/>
  <c r="K173" i="14"/>
  <c r="J173" i="14"/>
  <c r="J172" i="14"/>
  <c r="K171" i="14"/>
  <c r="J171" i="14"/>
  <c r="J170" i="14"/>
  <c r="K169" i="14"/>
  <c r="J169" i="14"/>
  <c r="J168" i="14"/>
  <c r="K167" i="14"/>
  <c r="J167" i="14"/>
  <c r="J166" i="14"/>
  <c r="K165" i="14"/>
  <c r="J165" i="14"/>
  <c r="J164" i="14"/>
  <c r="K163" i="14"/>
  <c r="J163" i="14"/>
  <c r="J162" i="14"/>
  <c r="K161" i="14"/>
  <c r="J161" i="14"/>
  <c r="J160" i="14"/>
  <c r="K160" i="14"/>
  <c r="J159" i="14"/>
  <c r="J158" i="14"/>
  <c r="K157" i="14"/>
  <c r="J157" i="14"/>
  <c r="J156" i="14"/>
  <c r="K156" i="14"/>
  <c r="J155" i="14"/>
  <c r="J154" i="14"/>
  <c r="J153" i="14"/>
  <c r="J152" i="14"/>
  <c r="K152" i="14"/>
  <c r="J151" i="14"/>
  <c r="L150" i="14"/>
  <c r="M150" i="14" s="1"/>
  <c r="N150" i="14" s="1"/>
  <c r="J150" i="14"/>
  <c r="K150" i="14" s="1"/>
  <c r="J149" i="14"/>
  <c r="K149" i="14" s="1"/>
  <c r="J148" i="14"/>
  <c r="K148" i="14"/>
  <c r="J147" i="14"/>
  <c r="J146" i="14"/>
  <c r="K145" i="14"/>
  <c r="J145" i="14"/>
  <c r="J144" i="14"/>
  <c r="K144" i="14"/>
  <c r="J143" i="14"/>
  <c r="J142" i="14"/>
  <c r="K142" i="14" s="1"/>
  <c r="K141" i="14"/>
  <c r="J141" i="14"/>
  <c r="J140" i="14"/>
  <c r="K140" i="14"/>
  <c r="J139" i="14"/>
  <c r="L138" i="14"/>
  <c r="J138" i="14"/>
  <c r="K138" i="14" s="1"/>
  <c r="J137" i="14"/>
  <c r="J136" i="14"/>
  <c r="K136" i="14"/>
  <c r="J135" i="14"/>
  <c r="L134" i="14"/>
  <c r="M134" i="14" s="1"/>
  <c r="N134" i="14" s="1"/>
  <c r="J134" i="14"/>
  <c r="K134" i="14" s="1"/>
  <c r="J133" i="14"/>
  <c r="K133" i="14" s="1"/>
  <c r="J132" i="14"/>
  <c r="K132" i="14"/>
  <c r="J131" i="14"/>
  <c r="J130" i="14"/>
  <c r="K129" i="14"/>
  <c r="J129" i="14"/>
  <c r="J128" i="14"/>
  <c r="K128" i="14"/>
  <c r="J127" i="14"/>
  <c r="J126" i="14"/>
  <c r="K126" i="14" s="1"/>
  <c r="K125" i="14"/>
  <c r="J125" i="14"/>
  <c r="J124" i="14"/>
  <c r="K124" i="14"/>
  <c r="J123" i="14"/>
  <c r="L122" i="14"/>
  <c r="J122" i="14"/>
  <c r="K122" i="14" s="1"/>
  <c r="J121" i="14"/>
  <c r="J120" i="14"/>
  <c r="K120" i="14"/>
  <c r="J119" i="14"/>
  <c r="L118" i="14"/>
  <c r="M118" i="14" s="1"/>
  <c r="N118" i="14" s="1"/>
  <c r="J118" i="14"/>
  <c r="K118" i="14" s="1"/>
  <c r="J117" i="14"/>
  <c r="K117" i="14" s="1"/>
  <c r="J116" i="14"/>
  <c r="K116" i="14"/>
  <c r="J115" i="14"/>
  <c r="J114" i="14"/>
  <c r="K113" i="14"/>
  <c r="J113" i="14"/>
  <c r="J112" i="14"/>
  <c r="K112" i="14"/>
  <c r="J111" i="14"/>
  <c r="J110" i="14"/>
  <c r="K110" i="14" s="1"/>
  <c r="J109" i="14"/>
  <c r="K109" i="14" s="1"/>
  <c r="J108" i="14"/>
  <c r="K108" i="14"/>
  <c r="L108" i="14" s="1"/>
  <c r="M108" i="14" s="1"/>
  <c r="N108" i="14" s="1"/>
  <c r="J107" i="14"/>
  <c r="K107" i="14" s="1"/>
  <c r="L106" i="14"/>
  <c r="K106" i="14"/>
  <c r="J106" i="14"/>
  <c r="L105" i="14"/>
  <c r="J105" i="14"/>
  <c r="K105" i="14" s="1"/>
  <c r="J104" i="14"/>
  <c r="K104" i="14"/>
  <c r="K103" i="14"/>
  <c r="J103" i="14"/>
  <c r="J102" i="14"/>
  <c r="K101" i="14"/>
  <c r="M101" i="14" s="1"/>
  <c r="N101" i="14" s="1"/>
  <c r="J101" i="14"/>
  <c r="L101" i="14" s="1"/>
  <c r="L100" i="14"/>
  <c r="J100" i="14"/>
  <c r="K100" i="14"/>
  <c r="M100" i="14" s="1"/>
  <c r="N100" i="14" s="1"/>
  <c r="J99" i="14"/>
  <c r="K99" i="14" s="1"/>
  <c r="K98" i="14"/>
  <c r="J98" i="14"/>
  <c r="J97" i="14"/>
  <c r="K97" i="14" s="1"/>
  <c r="J96" i="14"/>
  <c r="K95" i="14"/>
  <c r="J95" i="14"/>
  <c r="J94" i="14"/>
  <c r="J93" i="14"/>
  <c r="J92" i="14"/>
  <c r="K92" i="14"/>
  <c r="J91" i="14"/>
  <c r="K91" i="14" s="1"/>
  <c r="K90" i="14"/>
  <c r="L90" i="14" s="1"/>
  <c r="J90" i="14"/>
  <c r="J89" i="14"/>
  <c r="J88" i="14"/>
  <c r="K88" i="14"/>
  <c r="K87" i="14"/>
  <c r="J87" i="14"/>
  <c r="K86" i="14"/>
  <c r="L86" i="14" s="1"/>
  <c r="J86" i="14"/>
  <c r="K85" i="14"/>
  <c r="M85" i="14"/>
  <c r="N85" i="14"/>
  <c r="J85" i="14"/>
  <c r="L85" i="14" s="1"/>
  <c r="L84" i="14"/>
  <c r="J84" i="14"/>
  <c r="K84" i="14"/>
  <c r="M84" i="14" s="1"/>
  <c r="N84" i="14" s="1"/>
  <c r="J83" i="14"/>
  <c r="K82" i="14"/>
  <c r="J82" i="14"/>
  <c r="L81" i="14"/>
  <c r="M81" i="14"/>
  <c r="N81" i="14" s="1"/>
  <c r="J81" i="14"/>
  <c r="K81" i="14" s="1"/>
  <c r="L80" i="14"/>
  <c r="J80" i="14"/>
  <c r="K80" i="14" s="1"/>
  <c r="J79" i="14"/>
  <c r="K79" i="14" s="1"/>
  <c r="J78" i="14"/>
  <c r="J77" i="14"/>
  <c r="K76" i="14"/>
  <c r="J76" i="14"/>
  <c r="L76" i="14"/>
  <c r="K75" i="14"/>
  <c r="J75" i="14"/>
  <c r="J74" i="14"/>
  <c r="K74" i="14" s="1"/>
  <c r="J73" i="14"/>
  <c r="K72" i="14"/>
  <c r="J72" i="14"/>
  <c r="L72" i="14"/>
  <c r="J71" i="14"/>
  <c r="K71" i="14" s="1"/>
  <c r="J70" i="14"/>
  <c r="J69" i="14"/>
  <c r="K68" i="14"/>
  <c r="J68" i="14"/>
  <c r="L68" i="14"/>
  <c r="K67" i="14"/>
  <c r="J67" i="14"/>
  <c r="J66" i="14"/>
  <c r="J65" i="14"/>
  <c r="K64" i="14"/>
  <c r="J64" i="14"/>
  <c r="L64" i="14"/>
  <c r="J63" i="14"/>
  <c r="J62" i="14"/>
  <c r="J61" i="14"/>
  <c r="K60" i="14"/>
  <c r="J60" i="14"/>
  <c r="L60" i="14"/>
  <c r="K59" i="14"/>
  <c r="J59" i="14"/>
  <c r="L59" i="14" s="1"/>
  <c r="J58" i="14"/>
  <c r="J57" i="14"/>
  <c r="K56" i="14"/>
  <c r="J56" i="14"/>
  <c r="L56" i="14"/>
  <c r="J55" i="14"/>
  <c r="J54" i="14"/>
  <c r="J53" i="14"/>
  <c r="K52" i="14"/>
  <c r="J52" i="14"/>
  <c r="L52" i="14"/>
  <c r="L51" i="14"/>
  <c r="J51" i="14"/>
  <c r="K51" i="14" s="1"/>
  <c r="L50" i="14"/>
  <c r="K50" i="14"/>
  <c r="J50" i="14"/>
  <c r="J49" i="14"/>
  <c r="K48" i="14"/>
  <c r="J48" i="14"/>
  <c r="K47" i="14"/>
  <c r="J47" i="14"/>
  <c r="J46" i="14"/>
  <c r="J45" i="14"/>
  <c r="K44" i="14"/>
  <c r="J44" i="14"/>
  <c r="L44" i="14"/>
  <c r="J43" i="14"/>
  <c r="K42" i="14"/>
  <c r="J42" i="14"/>
  <c r="J41" i="14"/>
  <c r="J40" i="14"/>
  <c r="J39" i="14"/>
  <c r="K39" i="14" s="1"/>
  <c r="J38" i="14"/>
  <c r="J37" i="14"/>
  <c r="K37" i="14" s="1"/>
  <c r="L36" i="14"/>
  <c r="K36" i="14"/>
  <c r="J36" i="14"/>
  <c r="J35" i="14"/>
  <c r="J34" i="14"/>
  <c r="K34" i="14" s="1"/>
  <c r="K33" i="14"/>
  <c r="J33" i="14"/>
  <c r="L33" i="14" s="1"/>
  <c r="J32" i="14"/>
  <c r="J31" i="14"/>
  <c r="J30" i="14"/>
  <c r="J29" i="14"/>
  <c r="L28" i="14"/>
  <c r="K28" i="14"/>
  <c r="J28" i="14"/>
  <c r="J27" i="14"/>
  <c r="J26" i="14"/>
  <c r="K25" i="14"/>
  <c r="J25" i="14"/>
  <c r="L25" i="14" s="1"/>
  <c r="J24" i="14"/>
  <c r="J23" i="14"/>
  <c r="J22" i="14"/>
  <c r="J21" i="14"/>
  <c r="J20" i="14"/>
  <c r="K20" i="14" s="1"/>
  <c r="J19" i="14"/>
  <c r="J18" i="14"/>
  <c r="K18" i="14" s="1"/>
  <c r="J17" i="14"/>
  <c r="K17" i="14" s="1"/>
  <c r="L16" i="14"/>
  <c r="J16" i="14"/>
  <c r="K16" i="14" s="1"/>
  <c r="J15" i="14"/>
  <c r="K15" i="14"/>
  <c r="M15" i="14" s="1"/>
  <c r="N15" i="14" s="1"/>
  <c r="J14" i="14"/>
  <c r="J13" i="14"/>
  <c r="J12" i="14"/>
  <c r="J11" i="14"/>
  <c r="K11" i="14" s="1"/>
  <c r="J10" i="14"/>
  <c r="J9" i="14"/>
  <c r="K9" i="14" s="1"/>
  <c r="J8" i="14"/>
  <c r="J7" i="14"/>
  <c r="K7" i="14" s="1"/>
  <c r="L7" i="14" s="1"/>
  <c r="J6" i="14"/>
  <c r="K6" i="14" s="1"/>
  <c r="J5" i="14"/>
  <c r="J4" i="14"/>
  <c r="K4" i="14"/>
  <c r="J3" i="14"/>
  <c r="J2" i="14"/>
  <c r="K2" i="14" s="1"/>
  <c r="S1" i="14"/>
  <c r="K1" i="14"/>
  <c r="J1" i="14"/>
  <c r="H1" i="14"/>
  <c r="M25" i="14"/>
  <c r="N25" i="14" s="1"/>
  <c r="M33" i="14"/>
  <c r="N33" i="14" s="1"/>
  <c r="M44" i="14"/>
  <c r="N44" i="14" s="1"/>
  <c r="M52" i="14"/>
  <c r="N52" i="14"/>
  <c r="M60" i="14"/>
  <c r="N60" i="14" s="1"/>
  <c r="M68" i="14"/>
  <c r="N68" i="14"/>
  <c r="M76" i="14"/>
  <c r="N76" i="14" s="1"/>
  <c r="K3" i="14"/>
  <c r="L3" i="14"/>
  <c r="M4" i="14"/>
  <c r="N4" i="14" s="1"/>
  <c r="L4" i="14"/>
  <c r="M7" i="14"/>
  <c r="N7" i="14" s="1"/>
  <c r="L11" i="14"/>
  <c r="L19" i="14"/>
  <c r="L35" i="14"/>
  <c r="M56" i="14"/>
  <c r="N56" i="14"/>
  <c r="M64" i="14"/>
  <c r="N64" i="14"/>
  <c r="M72" i="14"/>
  <c r="N72" i="14"/>
  <c r="N148" i="14"/>
  <c r="L15" i="14"/>
  <c r="K22" i="14"/>
  <c r="K26" i="14"/>
  <c r="L26" i="14"/>
  <c r="K30" i="14"/>
  <c r="K38" i="14"/>
  <c r="M185" i="14"/>
  <c r="N185" i="14" s="1"/>
  <c r="M217" i="14"/>
  <c r="N217" i="14" s="1"/>
  <c r="L254" i="14"/>
  <c r="M254" i="14" s="1"/>
  <c r="N254" i="14" s="1"/>
  <c r="K268" i="14"/>
  <c r="K295" i="14"/>
  <c r="L295" i="14" s="1"/>
  <c r="L328" i="14"/>
  <c r="K328" i="14"/>
  <c r="K19" i="14"/>
  <c r="K23" i="14"/>
  <c r="L23" i="14"/>
  <c r="K27" i="14"/>
  <c r="L27" i="14" s="1"/>
  <c r="M27" i="14" s="1"/>
  <c r="N27" i="14" s="1"/>
  <c r="K31" i="14"/>
  <c r="K35" i="14"/>
  <c r="L39" i="14"/>
  <c r="K41" i="14"/>
  <c r="L41" i="14"/>
  <c r="K45" i="14"/>
  <c r="K49" i="14"/>
  <c r="K53" i="14"/>
  <c r="L53" i="14"/>
  <c r="K57" i="14"/>
  <c r="K61" i="14"/>
  <c r="K65" i="14"/>
  <c r="L65" i="14"/>
  <c r="K69" i="14"/>
  <c r="K73" i="14"/>
  <c r="K77" i="14"/>
  <c r="L112" i="14"/>
  <c r="M112" i="14"/>
  <c r="N112" i="14"/>
  <c r="L113" i="14"/>
  <c r="M113" i="14"/>
  <c r="N113" i="14"/>
  <c r="L116" i="14"/>
  <c r="M116" i="14" s="1"/>
  <c r="N116" i="14" s="1"/>
  <c r="L117" i="14"/>
  <c r="M117" i="14"/>
  <c r="N117" i="14" s="1"/>
  <c r="L120" i="14"/>
  <c r="M120" i="14"/>
  <c r="N120" i="14"/>
  <c r="L124" i="14"/>
  <c r="M124" i="14"/>
  <c r="N124" i="14"/>
  <c r="L125" i="14"/>
  <c r="M125" i="14"/>
  <c r="N125" i="14"/>
  <c r="L128" i="14"/>
  <c r="M128" i="14" s="1"/>
  <c r="N128" i="14" s="1"/>
  <c r="L129" i="14"/>
  <c r="M129" i="14"/>
  <c r="N129" i="14"/>
  <c r="L132" i="14"/>
  <c r="M132" i="14" s="1"/>
  <c r="N132" i="14" s="1"/>
  <c r="L133" i="14"/>
  <c r="M133" i="14"/>
  <c r="N133" i="14"/>
  <c r="L136" i="14"/>
  <c r="M136" i="14" s="1"/>
  <c r="N136" i="14" s="1"/>
  <c r="L140" i="14"/>
  <c r="M140" i="14" s="1"/>
  <c r="N140" i="14" s="1"/>
  <c r="L141" i="14"/>
  <c r="M141" i="14"/>
  <c r="N141" i="14" s="1"/>
  <c r="L144" i="14"/>
  <c r="M144" i="14"/>
  <c r="N144" i="14"/>
  <c r="L145" i="14"/>
  <c r="M145" i="14"/>
  <c r="N145" i="14"/>
  <c r="L148" i="14"/>
  <c r="M148" i="14" s="1"/>
  <c r="L149" i="14"/>
  <c r="M149" i="14"/>
  <c r="N149" i="14"/>
  <c r="L152" i="14"/>
  <c r="M152" i="14" s="1"/>
  <c r="N152" i="14" s="1"/>
  <c r="L156" i="14"/>
  <c r="M156" i="14" s="1"/>
  <c r="N156" i="14" s="1"/>
  <c r="L157" i="14"/>
  <c r="M157" i="14"/>
  <c r="N157" i="14" s="1"/>
  <c r="L160" i="14"/>
  <c r="M160" i="14"/>
  <c r="N160" i="14"/>
  <c r="L161" i="14"/>
  <c r="M161" i="14"/>
  <c r="N161" i="14"/>
  <c r="L165" i="14"/>
  <c r="M165" i="14" s="1"/>
  <c r="N165" i="14" s="1"/>
  <c r="L169" i="14"/>
  <c r="M169" i="14" s="1"/>
  <c r="N169" i="14" s="1"/>
  <c r="L173" i="14"/>
  <c r="M173" i="14" s="1"/>
  <c r="N173" i="14" s="1"/>
  <c r="L177" i="14"/>
  <c r="M177" i="14"/>
  <c r="N177" i="14" s="1"/>
  <c r="L181" i="14"/>
  <c r="M181" i="14"/>
  <c r="N181" i="14"/>
  <c r="L185" i="14"/>
  <c r="L189" i="14"/>
  <c r="M189" i="14"/>
  <c r="N189" i="14"/>
  <c r="L193" i="14"/>
  <c r="M193" i="14"/>
  <c r="N193" i="14"/>
  <c r="L197" i="14"/>
  <c r="M197" i="14" s="1"/>
  <c r="N197" i="14" s="1"/>
  <c r="L201" i="14"/>
  <c r="M201" i="14" s="1"/>
  <c r="N201" i="14" s="1"/>
  <c r="L205" i="14"/>
  <c r="M205" i="14" s="1"/>
  <c r="N205" i="14" s="1"/>
  <c r="L209" i="14"/>
  <c r="M209" i="14"/>
  <c r="N209" i="14" s="1"/>
  <c r="L213" i="14"/>
  <c r="M213" i="14"/>
  <c r="N213" i="14"/>
  <c r="L217" i="14"/>
  <c r="L225" i="14"/>
  <c r="M225" i="14"/>
  <c r="N225" i="14"/>
  <c r="L229" i="14"/>
  <c r="M229" i="14" s="1"/>
  <c r="N229" i="14" s="1"/>
  <c r="K247" i="14"/>
  <c r="M270" i="14"/>
  <c r="N270" i="14" s="1"/>
  <c r="L270" i="14"/>
  <c r="K284" i="14"/>
  <c r="M323" i="14"/>
  <c r="N323" i="14" s="1"/>
  <c r="L87" i="14"/>
  <c r="M87" i="14" s="1"/>
  <c r="N87" i="14" s="1"/>
  <c r="L91" i="14"/>
  <c r="M91" i="14"/>
  <c r="N91" i="14" s="1"/>
  <c r="L95" i="14"/>
  <c r="M95" i="14"/>
  <c r="N95" i="14"/>
  <c r="L99" i="14"/>
  <c r="M99" i="14"/>
  <c r="N99" i="14"/>
  <c r="L103" i="14"/>
  <c r="M103" i="14" s="1"/>
  <c r="N103" i="14" s="1"/>
  <c r="L107" i="14"/>
  <c r="M107" i="14"/>
  <c r="N107" i="14" s="1"/>
  <c r="K111" i="14"/>
  <c r="K115" i="14"/>
  <c r="L115" i="14"/>
  <c r="M115" i="14" s="1"/>
  <c r="N115" i="14" s="1"/>
  <c r="K119" i="14"/>
  <c r="L119" i="14"/>
  <c r="K123" i="14"/>
  <c r="K127" i="14"/>
  <c r="K131" i="14"/>
  <c r="L131" i="14"/>
  <c r="K135" i="14"/>
  <c r="K139" i="14"/>
  <c r="L139" i="14" s="1"/>
  <c r="M139" i="14" s="1"/>
  <c r="N139" i="14" s="1"/>
  <c r="K143" i="14"/>
  <c r="K147" i="14"/>
  <c r="L147" i="14"/>
  <c r="K151" i="14"/>
  <c r="L151" i="14" s="1"/>
  <c r="K155" i="14"/>
  <c r="K159" i="14"/>
  <c r="K236" i="14"/>
  <c r="L236" i="14" s="1"/>
  <c r="K263" i="14"/>
  <c r="L263" i="14" s="1"/>
  <c r="M263" i="14" s="1"/>
  <c r="N263" i="14" s="1"/>
  <c r="L286" i="14"/>
  <c r="M286" i="14" s="1"/>
  <c r="N286" i="14" s="1"/>
  <c r="K300" i="14"/>
  <c r="M86" i="14"/>
  <c r="N86" i="14"/>
  <c r="M90" i="14"/>
  <c r="N90" i="14" s="1"/>
  <c r="M106" i="14"/>
  <c r="N106" i="14" s="1"/>
  <c r="M122" i="14"/>
  <c r="N122" i="14" s="1"/>
  <c r="M138" i="14"/>
  <c r="N138" i="14" s="1"/>
  <c r="M198" i="14"/>
  <c r="N198" i="14"/>
  <c r="M206" i="14"/>
  <c r="N206" i="14"/>
  <c r="M214" i="14"/>
  <c r="N214" i="14"/>
  <c r="M222" i="14"/>
  <c r="N222" i="14"/>
  <c r="M230" i="14"/>
  <c r="N230" i="14"/>
  <c r="L238" i="14"/>
  <c r="M238" i="14" s="1"/>
  <c r="N238" i="14" s="1"/>
  <c r="K252" i="14"/>
  <c r="L252" i="14" s="1"/>
  <c r="M252" i="14" s="1"/>
  <c r="N252" i="14" s="1"/>
  <c r="K279" i="14"/>
  <c r="M302" i="14"/>
  <c r="N302" i="14" s="1"/>
  <c r="L302" i="14"/>
  <c r="K312" i="14"/>
  <c r="K240" i="14"/>
  <c r="K256" i="14"/>
  <c r="K272" i="14"/>
  <c r="M274" i="14"/>
  <c r="N274" i="14"/>
  <c r="K288" i="14"/>
  <c r="K304" i="14"/>
  <c r="L304" i="14" s="1"/>
  <c r="K308" i="14"/>
  <c r="L308" i="14" s="1"/>
  <c r="K324" i="14"/>
  <c r="M335" i="14"/>
  <c r="N335" i="14"/>
  <c r="M339" i="14"/>
  <c r="N339" i="14" s="1"/>
  <c r="M343" i="14"/>
  <c r="N343" i="14"/>
  <c r="M347" i="14"/>
  <c r="N347" i="14" s="1"/>
  <c r="M351" i="14"/>
  <c r="N351" i="14"/>
  <c r="M355" i="14"/>
  <c r="N355" i="14" s="1"/>
  <c r="L163" i="14"/>
  <c r="M163" i="14"/>
  <c r="N163" i="14"/>
  <c r="L167" i="14"/>
  <c r="M167" i="14"/>
  <c r="N167" i="14"/>
  <c r="L171" i="14"/>
  <c r="M171" i="14" s="1"/>
  <c r="N171" i="14" s="1"/>
  <c r="L175" i="14"/>
  <c r="M175" i="14" s="1"/>
  <c r="N175" i="14" s="1"/>
  <c r="L179" i="14"/>
  <c r="M179" i="14"/>
  <c r="N179" i="14"/>
  <c r="L183" i="14"/>
  <c r="M183" i="14"/>
  <c r="N183" i="14"/>
  <c r="L187" i="14"/>
  <c r="M187" i="14" s="1"/>
  <c r="N187" i="14" s="1"/>
  <c r="L191" i="14"/>
  <c r="M191" i="14" s="1"/>
  <c r="N191" i="14" s="1"/>
  <c r="L195" i="14"/>
  <c r="M195" i="14"/>
  <c r="N195" i="14" s="1"/>
  <c r="L199" i="14"/>
  <c r="M199" i="14"/>
  <c r="N199" i="14"/>
  <c r="L203" i="14"/>
  <c r="M203" i="14" s="1"/>
  <c r="N203" i="14" s="1"/>
  <c r="L207" i="14"/>
  <c r="M207" i="14"/>
  <c r="N207" i="14" s="1"/>
  <c r="M211" i="14"/>
  <c r="N211" i="14" s="1"/>
  <c r="L215" i="14"/>
  <c r="M215" i="14"/>
  <c r="N215" i="14"/>
  <c r="L219" i="14"/>
  <c r="M219" i="14" s="1"/>
  <c r="N219" i="14" s="1"/>
  <c r="L223" i="14"/>
  <c r="M223" i="14"/>
  <c r="N223" i="14" s="1"/>
  <c r="L227" i="14"/>
  <c r="M227" i="14"/>
  <c r="N227" i="14" s="1"/>
  <c r="L231" i="14"/>
  <c r="M231" i="14"/>
  <c r="N231" i="14"/>
  <c r="K235" i="14"/>
  <c r="L239" i="14"/>
  <c r="L242" i="14"/>
  <c r="M242" i="14" s="1"/>
  <c r="N242" i="14" s="1"/>
  <c r="L244" i="14"/>
  <c r="K244" i="14"/>
  <c r="K251" i="14"/>
  <c r="L251" i="14"/>
  <c r="M251" i="14" s="1"/>
  <c r="N251" i="14" s="1"/>
  <c r="L255" i="14"/>
  <c r="M255" i="14"/>
  <c r="N255" i="14"/>
  <c r="L258" i="14"/>
  <c r="M258" i="14" s="1"/>
  <c r="N258" i="14" s="1"/>
  <c r="K260" i="14"/>
  <c r="K267" i="14"/>
  <c r="L271" i="14"/>
  <c r="L274" i="14"/>
  <c r="K276" i="14"/>
  <c r="L276" i="14" s="1"/>
  <c r="M276" i="14" s="1"/>
  <c r="N276" i="14" s="1"/>
  <c r="K283" i="14"/>
  <c r="L283" i="14" s="1"/>
  <c r="M283" i="14" s="1"/>
  <c r="N283" i="14" s="1"/>
  <c r="L287" i="14"/>
  <c r="M287" i="14"/>
  <c r="N287" i="14"/>
  <c r="L290" i="14"/>
  <c r="M290" i="14" s="1"/>
  <c r="N290" i="14" s="1"/>
  <c r="K292" i="14"/>
  <c r="K299" i="14"/>
  <c r="L299" i="14" s="1"/>
  <c r="L303" i="14"/>
  <c r="L311" i="14"/>
  <c r="M311" i="14"/>
  <c r="N311" i="14"/>
  <c r="K320" i="14"/>
  <c r="L327" i="14"/>
  <c r="M327" i="14"/>
  <c r="N327" i="14" s="1"/>
  <c r="M331" i="14"/>
  <c r="N331" i="14"/>
  <c r="M334" i="14"/>
  <c r="N334" i="14" s="1"/>
  <c r="M234" i="14"/>
  <c r="N234" i="14"/>
  <c r="M239" i="14"/>
  <c r="N239" i="14" s="1"/>
  <c r="K248" i="14"/>
  <c r="M250" i="14"/>
  <c r="N250" i="14" s="1"/>
  <c r="L259" i="14"/>
  <c r="M259" i="14"/>
  <c r="N259" i="14"/>
  <c r="K264" i="14"/>
  <c r="M266" i="14"/>
  <c r="N266" i="14"/>
  <c r="M271" i="14"/>
  <c r="N271" i="14" s="1"/>
  <c r="L275" i="14"/>
  <c r="M275" i="14"/>
  <c r="N275" i="14"/>
  <c r="L280" i="14"/>
  <c r="K280" i="14"/>
  <c r="M282" i="14"/>
  <c r="N282" i="14"/>
  <c r="L291" i="14"/>
  <c r="M291" i="14" s="1"/>
  <c r="N291" i="14" s="1"/>
  <c r="K296" i="14"/>
  <c r="L296" i="14" s="1"/>
  <c r="M296" i="14" s="1"/>
  <c r="N296" i="14" s="1"/>
  <c r="M298" i="14"/>
  <c r="N298" i="14"/>
  <c r="M303" i="14"/>
  <c r="N303" i="14"/>
  <c r="L307" i="14"/>
  <c r="M307" i="14"/>
  <c r="N307" i="14"/>
  <c r="K316" i="14"/>
  <c r="L316" i="14" s="1"/>
  <c r="L323" i="14"/>
  <c r="M330" i="14"/>
  <c r="N330" i="14"/>
  <c r="L332" i="14"/>
  <c r="M332" i="14" s="1"/>
  <c r="N332" i="14" s="1"/>
  <c r="K332" i="14"/>
  <c r="L338" i="14"/>
  <c r="M338" i="14" s="1"/>
  <c r="N338" i="14" s="1"/>
  <c r="M344" i="14"/>
  <c r="N344" i="14" s="1"/>
  <c r="L346" i="14"/>
  <c r="M346" i="14"/>
  <c r="N346" i="14"/>
  <c r="L350" i="14"/>
  <c r="M350" i="14" s="1"/>
  <c r="N350" i="14" s="1"/>
  <c r="L354" i="14"/>
  <c r="M354" i="14" s="1"/>
  <c r="N354" i="14" s="1"/>
  <c r="M358" i="14"/>
  <c r="N358" i="14" s="1"/>
  <c r="M374" i="14"/>
  <c r="N374" i="14" s="1"/>
  <c r="M376" i="14"/>
  <c r="N376" i="14"/>
  <c r="M359" i="14"/>
  <c r="N359" i="14" s="1"/>
  <c r="M363" i="14"/>
  <c r="N363" i="14"/>
  <c r="M367" i="14"/>
  <c r="N367" i="14" s="1"/>
  <c r="M371" i="14"/>
  <c r="N371" i="14"/>
  <c r="M375" i="14"/>
  <c r="N375" i="14" s="1"/>
  <c r="M379" i="14"/>
  <c r="N379" i="14"/>
  <c r="M383" i="14"/>
  <c r="N383" i="14" s="1"/>
  <c r="K388" i="14"/>
  <c r="L388" i="14" s="1"/>
  <c r="K392" i="14"/>
  <c r="K396" i="14"/>
  <c r="L396" i="14" s="1"/>
  <c r="K400" i="14"/>
  <c r="L404" i="14"/>
  <c r="M404" i="14" s="1"/>
  <c r="N404" i="14" s="1"/>
  <c r="K404" i="14"/>
  <c r="K408" i="14"/>
  <c r="K420" i="14"/>
  <c r="K436" i="14"/>
  <c r="L439" i="14"/>
  <c r="M439" i="14" s="1"/>
  <c r="N439" i="14" s="1"/>
  <c r="K449" i="14"/>
  <c r="L449" i="14"/>
  <c r="K452" i="14"/>
  <c r="L455" i="14"/>
  <c r="K455" i="14"/>
  <c r="K465" i="14"/>
  <c r="L465" i="14"/>
  <c r="L468" i="14"/>
  <c r="K468" i="14"/>
  <c r="K471" i="14"/>
  <c r="M480" i="14"/>
  <c r="N480" i="14"/>
  <c r="L480" i="14"/>
  <c r="L358" i="14"/>
  <c r="L362" i="14"/>
  <c r="M362" i="14"/>
  <c r="N362" i="14"/>
  <c r="L366" i="14"/>
  <c r="M366" i="14" s="1"/>
  <c r="N366" i="14" s="1"/>
  <c r="L370" i="14"/>
  <c r="M370" i="14"/>
  <c r="N370" i="14" s="1"/>
  <c r="L374" i="14"/>
  <c r="L378" i="14"/>
  <c r="M378" i="14"/>
  <c r="N378" i="14" s="1"/>
  <c r="L382" i="14"/>
  <c r="M382" i="14"/>
  <c r="N382" i="14" s="1"/>
  <c r="L387" i="14"/>
  <c r="M387" i="14"/>
  <c r="N387" i="14"/>
  <c r="L391" i="14"/>
  <c r="L395" i="14"/>
  <c r="L399" i="14"/>
  <c r="M399" i="14"/>
  <c r="N399" i="14" s="1"/>
  <c r="L403" i="14"/>
  <c r="M403" i="14"/>
  <c r="N403" i="14"/>
  <c r="L407" i="14"/>
  <c r="M411" i="14"/>
  <c r="N411" i="14"/>
  <c r="L415" i="14"/>
  <c r="M415" i="14"/>
  <c r="N415" i="14" s="1"/>
  <c r="K424" i="14"/>
  <c r="L431" i="14"/>
  <c r="M431" i="14" s="1"/>
  <c r="N431" i="14" s="1"/>
  <c r="L440" i="14"/>
  <c r="M440" i="14" s="1"/>
  <c r="N440" i="14" s="1"/>
  <c r="K440" i="14"/>
  <c r="L443" i="14"/>
  <c r="M443" i="14"/>
  <c r="N443" i="14"/>
  <c r="K453" i="14"/>
  <c r="K456" i="14"/>
  <c r="K459" i="14"/>
  <c r="K469" i="14"/>
  <c r="L469" i="14"/>
  <c r="K472" i="14"/>
  <c r="L475" i="14"/>
  <c r="M475" i="14" s="1"/>
  <c r="N475" i="14" s="1"/>
  <c r="K475" i="14"/>
  <c r="K483" i="14"/>
  <c r="L483" i="14"/>
  <c r="M499" i="14"/>
  <c r="N499" i="14" s="1"/>
  <c r="M391" i="14"/>
  <c r="N391" i="14" s="1"/>
  <c r="M395" i="14"/>
  <c r="N395" i="14" s="1"/>
  <c r="M407" i="14"/>
  <c r="N407" i="14" s="1"/>
  <c r="K412" i="14"/>
  <c r="L412" i="14" s="1"/>
  <c r="L419" i="14"/>
  <c r="M419" i="14" s="1"/>
  <c r="N419" i="14" s="1"/>
  <c r="K428" i="14"/>
  <c r="L428" i="14" s="1"/>
  <c r="L444" i="14"/>
  <c r="M444" i="14" s="1"/>
  <c r="N444" i="14" s="1"/>
  <c r="K444" i="14"/>
  <c r="L447" i="14"/>
  <c r="M447" i="14" s="1"/>
  <c r="N447" i="14"/>
  <c r="K457" i="14"/>
  <c r="L457" i="14" s="1"/>
  <c r="K460" i="14"/>
  <c r="L460" i="14" s="1"/>
  <c r="K463" i="14"/>
  <c r="K473" i="14"/>
  <c r="L473" i="14" s="1"/>
  <c r="K476" i="14"/>
  <c r="K479" i="14"/>
  <c r="L479" i="14"/>
  <c r="L336" i="14"/>
  <c r="M336" i="14"/>
  <c r="N336" i="14" s="1"/>
  <c r="L340" i="14"/>
  <c r="M340" i="14" s="1"/>
  <c r="N340" i="14"/>
  <c r="L344" i="14"/>
  <c r="L348" i="14"/>
  <c r="M348" i="14" s="1"/>
  <c r="N348" i="14" s="1"/>
  <c r="L352" i="14"/>
  <c r="M352" i="14"/>
  <c r="N352" i="14" s="1"/>
  <c r="L356" i="14"/>
  <c r="M356" i="14" s="1"/>
  <c r="N356" i="14"/>
  <c r="L360" i="14"/>
  <c r="M360" i="14" s="1"/>
  <c r="N360" i="14" s="1"/>
  <c r="L364" i="14"/>
  <c r="M364" i="14" s="1"/>
  <c r="N364" i="14" s="1"/>
  <c r="L368" i="14"/>
  <c r="M368" i="14"/>
  <c r="N368" i="14" s="1"/>
  <c r="L372" i="14"/>
  <c r="M372" i="14" s="1"/>
  <c r="N372" i="14" s="1"/>
  <c r="L376" i="14"/>
  <c r="L380" i="14"/>
  <c r="M380" i="14" s="1"/>
  <c r="N380" i="14" s="1"/>
  <c r="L384" i="14"/>
  <c r="M384" i="14"/>
  <c r="N384" i="14" s="1"/>
  <c r="M386" i="14"/>
  <c r="N386" i="14" s="1"/>
  <c r="M390" i="14"/>
  <c r="N390" i="14" s="1"/>
  <c r="M402" i="14"/>
  <c r="N402" i="14" s="1"/>
  <c r="M406" i="14"/>
  <c r="N406" i="14"/>
  <c r="L416" i="14"/>
  <c r="K416" i="14"/>
  <c r="L423" i="14"/>
  <c r="M423" i="14" s="1"/>
  <c r="N423" i="14"/>
  <c r="M430" i="14"/>
  <c r="N430" i="14" s="1"/>
  <c r="K432" i="14"/>
  <c r="L432" i="14" s="1"/>
  <c r="L435" i="14"/>
  <c r="M435" i="14" s="1"/>
  <c r="N435" i="14" s="1"/>
  <c r="K448" i="14"/>
  <c r="L451" i="14"/>
  <c r="M451" i="14" s="1"/>
  <c r="N451" i="14" s="1"/>
  <c r="K451" i="14"/>
  <c r="K461" i="14"/>
  <c r="L461" i="14"/>
  <c r="L464" i="14"/>
  <c r="M464" i="14" s="1"/>
  <c r="N464" i="14" s="1"/>
  <c r="K464" i="14"/>
  <c r="K467" i="14"/>
  <c r="K477" i="14"/>
  <c r="L484" i="14"/>
  <c r="M484" i="14" s="1"/>
  <c r="N484" i="14" s="1"/>
  <c r="M491" i="14"/>
  <c r="N491" i="14"/>
  <c r="L487" i="14"/>
  <c r="M487" i="14" s="1"/>
  <c r="N487" i="14" s="1"/>
  <c r="L491" i="14"/>
  <c r="L494" i="14"/>
  <c r="M494" i="14" s="1"/>
  <c r="N494" i="14" s="1"/>
  <c r="L495" i="14"/>
  <c r="M495" i="14" s="1"/>
  <c r="N495" i="14" s="1"/>
  <c r="L499" i="14"/>
  <c r="L502" i="14"/>
  <c r="M502" i="14" s="1"/>
  <c r="N502" i="14" s="1"/>
  <c r="L503" i="14"/>
  <c r="M503" i="14" s="1"/>
  <c r="N503" i="14" s="1"/>
  <c r="L507" i="14"/>
  <c r="M507" i="14"/>
  <c r="N507" i="14"/>
  <c r="L510" i="14"/>
  <c r="L511" i="14"/>
  <c r="M511" i="14"/>
  <c r="N511" i="14"/>
  <c r="L515" i="14"/>
  <c r="M515" i="14" s="1"/>
  <c r="N515" i="14" s="1"/>
  <c r="L519" i="14"/>
  <c r="M519" i="14"/>
  <c r="N519" i="14"/>
  <c r="L538" i="14"/>
  <c r="K433" i="14"/>
  <c r="K437" i="14"/>
  <c r="L437" i="14" s="1"/>
  <c r="K441" i="14"/>
  <c r="L441" i="14" s="1"/>
  <c r="M441" i="14" s="1"/>
  <c r="N441" i="14" s="1"/>
  <c r="K445" i="14"/>
  <c r="L450" i="14"/>
  <c r="M450" i="14"/>
  <c r="N450" i="14"/>
  <c r="L454" i="14"/>
  <c r="M454" i="14"/>
  <c r="N454" i="14"/>
  <c r="L458" i="14"/>
  <c r="M458" i="14" s="1"/>
  <c r="N458" i="14" s="1"/>
  <c r="L462" i="14"/>
  <c r="M462" i="14"/>
  <c r="N462" i="14" s="1"/>
  <c r="K482" i="14"/>
  <c r="L482" i="14" s="1"/>
  <c r="K486" i="14"/>
  <c r="L486" i="14" s="1"/>
  <c r="K490" i="14"/>
  <c r="K494" i="14"/>
  <c r="K498" i="14"/>
  <c r="L498" i="14" s="1"/>
  <c r="M498" i="14" s="1"/>
  <c r="N498" i="14" s="1"/>
  <c r="K502" i="14"/>
  <c r="K506" i="14"/>
  <c r="K510" i="14"/>
  <c r="K514" i="14"/>
  <c r="L514" i="14" s="1"/>
  <c r="K518" i="14"/>
  <c r="L518" i="14" s="1"/>
  <c r="K521" i="14"/>
  <c r="L523" i="14"/>
  <c r="M523" i="14"/>
  <c r="N523" i="14" s="1"/>
  <c r="K525" i="14"/>
  <c r="L525" i="14" s="1"/>
  <c r="L527" i="14"/>
  <c r="M527" i="14"/>
  <c r="N527" i="14" s="1"/>
  <c r="L531" i="14"/>
  <c r="M531" i="14"/>
  <c r="N531" i="14"/>
  <c r="M493" i="14"/>
  <c r="N493" i="14" s="1"/>
  <c r="M497" i="14"/>
  <c r="N497" i="14" s="1"/>
  <c r="M509" i="14"/>
  <c r="N509" i="14"/>
  <c r="M513" i="14"/>
  <c r="N513" i="14" s="1"/>
  <c r="L522" i="14"/>
  <c r="M522" i="14" s="1"/>
  <c r="N522" i="14" s="1"/>
  <c r="L526" i="14"/>
  <c r="M488" i="14"/>
  <c r="N488" i="14"/>
  <c r="M492" i="14"/>
  <c r="N492" i="14" s="1"/>
  <c r="M504" i="14"/>
  <c r="N504" i="14" s="1"/>
  <c r="M508" i="14"/>
  <c r="N508" i="14" s="1"/>
  <c r="M512" i="14"/>
  <c r="N512" i="14"/>
  <c r="L520" i="14"/>
  <c r="M520" i="14"/>
  <c r="N520" i="14"/>
  <c r="L524" i="14"/>
  <c r="M524" i="14"/>
  <c r="N524" i="14" s="1"/>
  <c r="M526" i="14"/>
  <c r="N526" i="14" s="1"/>
  <c r="M528" i="14"/>
  <c r="N528" i="14"/>
  <c r="K530" i="14"/>
  <c r="L530" i="14" s="1"/>
  <c r="M530" i="14" s="1"/>
  <c r="N530" i="14" s="1"/>
  <c r="M532" i="14"/>
  <c r="N532" i="14" s="1"/>
  <c r="K534" i="14"/>
  <c r="M538" i="14"/>
  <c r="N538" i="14" s="1"/>
  <c r="L529" i="14"/>
  <c r="L533" i="14"/>
  <c r="M533" i="14" s="1"/>
  <c r="N533" i="14" s="1"/>
  <c r="K529" i="14"/>
  <c r="K533" i="14"/>
  <c r="M546" i="14"/>
  <c r="N546" i="14" s="1"/>
  <c r="M554" i="14"/>
  <c r="N554" i="14" s="1"/>
  <c r="M558" i="14"/>
  <c r="N558" i="14"/>
  <c r="M562" i="14"/>
  <c r="N562" i="14" s="1"/>
  <c r="L610" i="14"/>
  <c r="K610" i="14"/>
  <c r="K615" i="14"/>
  <c r="M615" i="14" s="1"/>
  <c r="N615" i="14" s="1"/>
  <c r="L618" i="14"/>
  <c r="M618" i="14" s="1"/>
  <c r="N618" i="14" s="1"/>
  <c r="K618" i="14"/>
  <c r="K623" i="14"/>
  <c r="M560" i="14"/>
  <c r="N560" i="14" s="1"/>
  <c r="M564" i="14"/>
  <c r="N564" i="14"/>
  <c r="L569" i="14"/>
  <c r="M569" i="14" s="1"/>
  <c r="N569" i="14" s="1"/>
  <c r="M573" i="14"/>
  <c r="N573" i="14" s="1"/>
  <c r="L573" i="14"/>
  <c r="L577" i="14"/>
  <c r="M577" i="14"/>
  <c r="N577" i="14" s="1"/>
  <c r="L581" i="14"/>
  <c r="M581" i="14" s="1"/>
  <c r="N581" i="14" s="1"/>
  <c r="L585" i="14"/>
  <c r="M585" i="14" s="1"/>
  <c r="N585" i="14" s="1"/>
  <c r="M589" i="14"/>
  <c r="N589" i="14" s="1"/>
  <c r="L589" i="14"/>
  <c r="L593" i="14"/>
  <c r="M593" i="14"/>
  <c r="N593" i="14" s="1"/>
  <c r="L597" i="14"/>
  <c r="M597" i="14" s="1"/>
  <c r="N597" i="14" s="1"/>
  <c r="L601" i="14"/>
  <c r="M601" i="14" s="1"/>
  <c r="N601" i="14" s="1"/>
  <c r="M605" i="14"/>
  <c r="N605" i="14" s="1"/>
  <c r="L605" i="14"/>
  <c r="L536" i="14"/>
  <c r="M536" i="14"/>
  <c r="N536" i="14" s="1"/>
  <c r="L540" i="14"/>
  <c r="M540" i="14"/>
  <c r="N540" i="14"/>
  <c r="L544" i="14"/>
  <c r="M544" i="14" s="1"/>
  <c r="N544" i="14" s="1"/>
  <c r="L548" i="14"/>
  <c r="M548" i="14" s="1"/>
  <c r="N548" i="14" s="1"/>
  <c r="L552" i="14"/>
  <c r="M552" i="14"/>
  <c r="N552" i="14" s="1"/>
  <c r="L556" i="14"/>
  <c r="M556" i="14"/>
  <c r="N556" i="14"/>
  <c r="L609" i="14"/>
  <c r="M609" i="14" s="1"/>
  <c r="N609" i="14" s="1"/>
  <c r="M617" i="14"/>
  <c r="N617" i="14" s="1"/>
  <c r="L617" i="14"/>
  <c r="L574" i="14"/>
  <c r="L590" i="14"/>
  <c r="L606" i="14"/>
  <c r="L614" i="14"/>
  <c r="M614" i="14"/>
  <c r="N614" i="14" s="1"/>
  <c r="K619" i="14"/>
  <c r="M626" i="14"/>
  <c r="N626" i="14" s="1"/>
  <c r="K631" i="14"/>
  <c r="L631" i="14" s="1"/>
  <c r="M631" i="14" s="1"/>
  <c r="N631" i="14" s="1"/>
  <c r="K627" i="14"/>
  <c r="K611" i="14"/>
  <c r="M611" i="14" s="1"/>
  <c r="N611" i="14" s="1"/>
  <c r="L611" i="14"/>
  <c r="M613" i="14"/>
  <c r="N613" i="14" s="1"/>
  <c r="L622" i="14"/>
  <c r="M622" i="14"/>
  <c r="N622" i="14" s="1"/>
  <c r="L630" i="14"/>
  <c r="M630" i="14"/>
  <c r="N630" i="14"/>
  <c r="K635" i="14"/>
  <c r="L635" i="14" s="1"/>
  <c r="M635" i="14" s="1"/>
  <c r="N635" i="14" s="1"/>
  <c r="K639" i="14"/>
  <c r="L639" i="14" s="1"/>
  <c r="M639" i="14" s="1"/>
  <c r="N639" i="14" s="1"/>
  <c r="K643" i="14"/>
  <c r="L643" i="14" s="1"/>
  <c r="M643" i="14" s="1"/>
  <c r="N643" i="14" s="1"/>
  <c r="K647" i="14"/>
  <c r="L647" i="14" s="1"/>
  <c r="K651" i="14"/>
  <c r="L651" i="14" s="1"/>
  <c r="M651" i="14" s="1"/>
  <c r="N651" i="14" s="1"/>
  <c r="M518" i="14"/>
  <c r="N518" i="14" s="1"/>
  <c r="M486" i="14"/>
  <c r="N486" i="14" s="1"/>
  <c r="M437" i="14"/>
  <c r="N437" i="14"/>
  <c r="M416" i="14"/>
  <c r="N416" i="14"/>
  <c r="M460" i="14"/>
  <c r="N460" i="14" s="1"/>
  <c r="M455" i="14"/>
  <c r="N455" i="14"/>
  <c r="M396" i="14"/>
  <c r="N396" i="14" s="1"/>
  <c r="M280" i="14"/>
  <c r="N280" i="14"/>
  <c r="M244" i="14"/>
  <c r="N244" i="14" s="1"/>
  <c r="M308" i="14"/>
  <c r="N308" i="14"/>
  <c r="L267" i="14"/>
  <c r="M267" i="14" s="1"/>
  <c r="N267" i="14" s="1"/>
  <c r="L235" i="14"/>
  <c r="M235" i="14" s="1"/>
  <c r="N235" i="14" s="1"/>
  <c r="M328" i="14"/>
  <c r="N328" i="14" s="1"/>
  <c r="M469" i="14"/>
  <c r="N469" i="14" s="1"/>
  <c r="M73" i="14"/>
  <c r="N73" i="14" s="1"/>
  <c r="L38" i="14"/>
  <c r="M38" i="14" s="1"/>
  <c r="N38" i="14" s="1"/>
  <c r="L22" i="14"/>
  <c r="M22" i="14"/>
  <c r="N22" i="14" s="1"/>
  <c r="M3" i="14"/>
  <c r="N3" i="14"/>
  <c r="L77" i="14"/>
  <c r="M77" i="14" s="1"/>
  <c r="N77" i="14" s="1"/>
  <c r="L73" i="14"/>
  <c r="M525" i="14"/>
  <c r="N525" i="14" s="1"/>
  <c r="M479" i="14"/>
  <c r="N479" i="14"/>
  <c r="M449" i="14"/>
  <c r="N449" i="14" s="1"/>
  <c r="L623" i="14"/>
  <c r="M623" i="14" s="1"/>
  <c r="N623" i="14" s="1"/>
  <c r="L615" i="14"/>
  <c r="M461" i="14"/>
  <c r="N461" i="14" s="1"/>
  <c r="M465" i="14"/>
  <c r="N465" i="14"/>
  <c r="L264" i="14"/>
  <c r="M264" i="14" s="1"/>
  <c r="N264" i="14" s="1"/>
  <c r="L324" i="14"/>
  <c r="M324" i="14" s="1"/>
  <c r="N324" i="14" s="1"/>
  <c r="L312" i="14"/>
  <c r="M312" i="14"/>
  <c r="N312" i="14" s="1"/>
  <c r="L279" i="14"/>
  <c r="M279" i="14"/>
  <c r="N279" i="14"/>
  <c r="M147" i="14"/>
  <c r="N147" i="14" s="1"/>
  <c r="M131" i="14"/>
  <c r="N131" i="14"/>
  <c r="L284" i="14"/>
  <c r="M284" i="14" s="1"/>
  <c r="N284" i="14" s="1"/>
  <c r="L155" i="14"/>
  <c r="M155" i="14" s="1"/>
  <c r="N155" i="14" s="1"/>
  <c r="L123" i="14"/>
  <c r="M123" i="14"/>
  <c r="N123" i="14"/>
  <c r="M53" i="14"/>
  <c r="N53" i="14"/>
  <c r="M39" i="14"/>
  <c r="N39" i="14" s="1"/>
  <c r="M23" i="14"/>
  <c r="N23" i="14"/>
  <c r="L268" i="14"/>
  <c r="M268" i="14" s="1"/>
  <c r="N268" i="14" s="1"/>
  <c r="L31" i="14"/>
  <c r="M31" i="14" s="1"/>
  <c r="N31" i="14" s="1"/>
  <c r="L18" i="14"/>
  <c r="M18" i="14"/>
  <c r="N18" i="14"/>
  <c r="L69" i="14"/>
  <c r="M69" i="14" s="1"/>
  <c r="N69" i="14" s="1"/>
  <c r="M433" i="14"/>
  <c r="N433" i="14" s="1"/>
  <c r="M456" i="14"/>
  <c r="N456" i="14" s="1"/>
  <c r="L433" i="14"/>
  <c r="M236" i="14"/>
  <c r="N236" i="14"/>
  <c r="M119" i="14"/>
  <c r="N119" i="14"/>
  <c r="L135" i="14"/>
  <c r="M135" i="14" s="1"/>
  <c r="N135" i="14" s="1"/>
  <c r="M41" i="14"/>
  <c r="N41" i="14"/>
  <c r="L627" i="14"/>
  <c r="M627" i="14" s="1"/>
  <c r="N627" i="14" s="1"/>
  <c r="M510" i="14"/>
  <c r="N510" i="14"/>
  <c r="L467" i="14"/>
  <c r="M467" i="14" s="1"/>
  <c r="N467" i="14" s="1"/>
  <c r="L456" i="14"/>
  <c r="L424" i="14"/>
  <c r="M424" i="14" s="1"/>
  <c r="N424" i="14" s="1"/>
  <c r="L471" i="14"/>
  <c r="M471" i="14"/>
  <c r="N471" i="14" s="1"/>
  <c r="L445" i="14"/>
  <c r="M445" i="14"/>
  <c r="N445" i="14"/>
  <c r="L436" i="14"/>
  <c r="M436" i="14" s="1"/>
  <c r="N436" i="14" s="1"/>
  <c r="M392" i="14"/>
  <c r="N392" i="14" s="1"/>
  <c r="L619" i="14"/>
  <c r="M619" i="14" s="1"/>
  <c r="N619" i="14" s="1"/>
  <c r="M610" i="14"/>
  <c r="N610" i="14" s="1"/>
  <c r="M529" i="14"/>
  <c r="N529" i="14"/>
  <c r="L521" i="14"/>
  <c r="M521" i="14"/>
  <c r="N521" i="14"/>
  <c r="L506" i="14"/>
  <c r="M506" i="14" s="1"/>
  <c r="N506" i="14" s="1"/>
  <c r="L490" i="14"/>
  <c r="M490" i="14" s="1"/>
  <c r="N490" i="14" s="1"/>
  <c r="L477" i="14"/>
  <c r="M477" i="14"/>
  <c r="N477" i="14" s="1"/>
  <c r="L448" i="14"/>
  <c r="M448" i="14" s="1"/>
  <c r="N448" i="14" s="1"/>
  <c r="M432" i="14"/>
  <c r="N432" i="14" s="1"/>
  <c r="L476" i="14"/>
  <c r="M476" i="14"/>
  <c r="N476" i="14" s="1"/>
  <c r="L463" i="14"/>
  <c r="M463" i="14"/>
  <c r="N463" i="14"/>
  <c r="M428" i="14"/>
  <c r="N428" i="14" s="1"/>
  <c r="M483" i="14"/>
  <c r="N483" i="14"/>
  <c r="L472" i="14"/>
  <c r="M472" i="14" s="1"/>
  <c r="N472" i="14" s="1"/>
  <c r="L453" i="14"/>
  <c r="M453" i="14" s="1"/>
  <c r="N453" i="14" s="1"/>
  <c r="M468" i="14"/>
  <c r="N468" i="14" s="1"/>
  <c r="L452" i="14"/>
  <c r="M452" i="14"/>
  <c r="N452" i="14" s="1"/>
  <c r="L408" i="14"/>
  <c r="M408" i="14"/>
  <c r="N408" i="14" s="1"/>
  <c r="L400" i="14"/>
  <c r="M400" i="14"/>
  <c r="N400" i="14"/>
  <c r="L392" i="14"/>
  <c r="L248" i="14"/>
  <c r="M248" i="14"/>
  <c r="N248" i="14"/>
  <c r="L320" i="14"/>
  <c r="M320" i="14"/>
  <c r="N320" i="14"/>
  <c r="L292" i="14"/>
  <c r="M292" i="14" s="1"/>
  <c r="N292" i="14" s="1"/>
  <c r="L260" i="14"/>
  <c r="M260" i="14"/>
  <c r="N260" i="14" s="1"/>
  <c r="L288" i="14"/>
  <c r="M288" i="14"/>
  <c r="N288" i="14"/>
  <c r="L272" i="14"/>
  <c r="M272" i="14" s="1"/>
  <c r="N272" i="14" s="1"/>
  <c r="L256" i="14"/>
  <c r="M256" i="14"/>
  <c r="N256" i="14" s="1"/>
  <c r="L240" i="14"/>
  <c r="M240" i="14"/>
  <c r="N240" i="14"/>
  <c r="L300" i="14"/>
  <c r="M300" i="14"/>
  <c r="N300" i="14" s="1"/>
  <c r="M159" i="14"/>
  <c r="N159" i="14" s="1"/>
  <c r="L247" i="14"/>
  <c r="M247" i="14" s="1"/>
  <c r="N247" i="14" s="1"/>
  <c r="L159" i="14"/>
  <c r="L143" i="14"/>
  <c r="M143" i="14" s="1"/>
  <c r="N143" i="14" s="1"/>
  <c r="L111" i="14"/>
  <c r="M111" i="14" s="1"/>
  <c r="N111" i="14" s="1"/>
  <c r="M65" i="14"/>
  <c r="N65" i="14"/>
  <c r="M35" i="14"/>
  <c r="N35" i="14"/>
  <c r="M19" i="14"/>
  <c r="N19" i="14"/>
  <c r="M295" i="14"/>
  <c r="N295" i="14"/>
  <c r="M26" i="14"/>
  <c r="N26" i="14"/>
  <c r="L49" i="14"/>
  <c r="M49" i="14"/>
  <c r="N49" i="14"/>
  <c r="L45" i="14"/>
  <c r="M45" i="14" s="1"/>
  <c r="N45" i="14" s="1"/>
  <c r="L61" i="14"/>
  <c r="M61" i="14"/>
  <c r="N61" i="14"/>
  <c r="L30" i="14"/>
  <c r="M30" i="14"/>
  <c r="N30" i="14"/>
  <c r="L57" i="14"/>
  <c r="M57" i="14" s="1"/>
  <c r="N57" i="14" s="1"/>
  <c r="V7" i="14"/>
  <c r="F7" i="14" s="1"/>
  <c r="AB17" i="14"/>
  <c r="F2" i="14"/>
  <c r="AB19" i="14" l="1"/>
  <c r="F19" i="14"/>
  <c r="D40" i="2"/>
  <c r="C37" i="2"/>
  <c r="D36" i="2"/>
  <c r="C33" i="2"/>
  <c r="D32" i="2"/>
  <c r="C29" i="2"/>
  <c r="D28" i="2"/>
  <c r="C25" i="2"/>
  <c r="D24" i="2"/>
  <c r="C21" i="2"/>
  <c r="D20" i="2"/>
  <c r="C17" i="2"/>
  <c r="D16" i="2"/>
  <c r="C13" i="2"/>
  <c r="D12" i="2"/>
  <c r="D41" i="2"/>
  <c r="D38" i="2"/>
  <c r="D26" i="2"/>
  <c r="D22" i="2"/>
  <c r="C19" i="2"/>
  <c r="D18" i="2"/>
  <c r="C15" i="2"/>
  <c r="C40" i="2"/>
  <c r="D39" i="2"/>
  <c r="C36" i="2"/>
  <c r="D35" i="2"/>
  <c r="C32" i="2"/>
  <c r="D31" i="2"/>
  <c r="C28" i="2"/>
  <c r="D27" i="2"/>
  <c r="C24" i="2"/>
  <c r="D23" i="2"/>
  <c r="C20" i="2"/>
  <c r="D19" i="2"/>
  <c r="C16" i="2"/>
  <c r="D15" i="2"/>
  <c r="C12" i="2"/>
  <c r="D11" i="2"/>
  <c r="C39" i="2"/>
  <c r="C35" i="2"/>
  <c r="D34" i="2"/>
  <c r="C31" i="2"/>
  <c r="D30" i="2"/>
  <c r="C27" i="2"/>
  <c r="C23" i="2"/>
  <c r="D14" i="2"/>
  <c r="C11" i="2"/>
  <c r="C41" i="2"/>
  <c r="C38" i="2"/>
  <c r="D37" i="2"/>
  <c r="C34" i="2"/>
  <c r="D33" i="2"/>
  <c r="C30" i="2"/>
  <c r="D29" i="2"/>
  <c r="C26" i="2"/>
  <c r="D25" i="2"/>
  <c r="C22" i="2"/>
  <c r="D21" i="2"/>
  <c r="C18" i="2"/>
  <c r="D17" i="2"/>
  <c r="C14" i="2"/>
  <c r="D13" i="2"/>
  <c r="Z17" i="14"/>
  <c r="AA17" i="14" s="1"/>
  <c r="AA19" i="14"/>
  <c r="AA20" i="14"/>
  <c r="D10" i="1"/>
  <c r="Z18" i="14"/>
  <c r="AA18" i="14" s="1"/>
  <c r="F5" i="14"/>
  <c r="AB16" i="14"/>
  <c r="AC16" i="14" s="1"/>
  <c r="AB18" i="14"/>
  <c r="AB15" i="14"/>
  <c r="Z7" i="14"/>
  <c r="AA7" i="14" s="1"/>
  <c r="Z15" i="14"/>
  <c r="AA15" i="14" s="1"/>
  <c r="V9" i="14"/>
  <c r="F9" i="14" s="1"/>
  <c r="V13" i="14"/>
  <c r="V12" i="14"/>
  <c r="V8" i="14"/>
  <c r="AB8" i="14" s="1"/>
  <c r="V11" i="14"/>
  <c r="Z11" i="14" s="1"/>
  <c r="V10" i="14"/>
  <c r="Z10" i="14" s="1"/>
  <c r="AA10" i="14" s="1"/>
  <c r="AB20" i="14"/>
  <c r="AC20" i="14" s="1"/>
  <c r="F20" i="14"/>
  <c r="F16" i="14"/>
  <c r="D7" i="1"/>
  <c r="M572" i="14"/>
  <c r="N572" i="14" s="1"/>
  <c r="M584" i="14"/>
  <c r="N584" i="14" s="1"/>
  <c r="M596" i="14"/>
  <c r="N596" i="14" s="1"/>
  <c r="M604" i="14"/>
  <c r="N604" i="14" s="1"/>
  <c r="M420" i="14"/>
  <c r="N420" i="14" s="1"/>
  <c r="K10" i="14"/>
  <c r="L10" i="14"/>
  <c r="L14" i="14"/>
  <c r="K14" i="14"/>
  <c r="K43" i="14"/>
  <c r="K63" i="14"/>
  <c r="L63" i="14"/>
  <c r="K317" i="14"/>
  <c r="L317" i="14" s="1"/>
  <c r="M551" i="14"/>
  <c r="N551" i="14" s="1"/>
  <c r="L551" i="14"/>
  <c r="K642" i="14"/>
  <c r="L642" i="14"/>
  <c r="AB7" i="14"/>
  <c r="L127" i="14"/>
  <c r="M127" i="14" s="1"/>
  <c r="N127" i="14" s="1"/>
  <c r="M304" i="14"/>
  <c r="N304" i="14" s="1"/>
  <c r="L34" i="14"/>
  <c r="M34" i="14" s="1"/>
  <c r="N34" i="14" s="1"/>
  <c r="M388" i="14"/>
  <c r="N388" i="14" s="1"/>
  <c r="M412" i="14"/>
  <c r="N412" i="14" s="1"/>
  <c r="L602" i="14"/>
  <c r="M602" i="14" s="1"/>
  <c r="N602" i="14" s="1"/>
  <c r="L586" i="14"/>
  <c r="M586" i="14" s="1"/>
  <c r="N586" i="14" s="1"/>
  <c r="L570" i="14"/>
  <c r="M570" i="14" s="1"/>
  <c r="N570" i="14" s="1"/>
  <c r="L534" i="14"/>
  <c r="M534" i="14" s="1"/>
  <c r="N534" i="14" s="1"/>
  <c r="L459" i="14"/>
  <c r="M459" i="14" s="1"/>
  <c r="N459" i="14" s="1"/>
  <c r="L420" i="14"/>
  <c r="L342" i="14"/>
  <c r="M342" i="14" s="1"/>
  <c r="N342" i="14" s="1"/>
  <c r="L1" i="14"/>
  <c r="M1" i="14" s="1"/>
  <c r="N1" i="14" s="1"/>
  <c r="M11" i="14"/>
  <c r="N11" i="14" s="1"/>
  <c r="L20" i="14"/>
  <c r="M20" i="14" s="1"/>
  <c r="N20" i="14" s="1"/>
  <c r="K24" i="14"/>
  <c r="K29" i="14"/>
  <c r="L29" i="14" s="1"/>
  <c r="L71" i="14"/>
  <c r="M71" i="14" s="1"/>
  <c r="N71" i="14" s="1"/>
  <c r="M514" i="14"/>
  <c r="N514" i="14" s="1"/>
  <c r="M647" i="14"/>
  <c r="N647" i="14" s="1"/>
  <c r="M482" i="14"/>
  <c r="N482" i="14" s="1"/>
  <c r="M473" i="14"/>
  <c r="N473" i="14" s="1"/>
  <c r="M151" i="14"/>
  <c r="N151" i="14" s="1"/>
  <c r="M299" i="14"/>
  <c r="N299" i="14" s="1"/>
  <c r="L598" i="14"/>
  <c r="M598" i="14" s="1"/>
  <c r="N598" i="14" s="1"/>
  <c r="L582" i="14"/>
  <c r="M582" i="14" s="1"/>
  <c r="N582" i="14" s="1"/>
  <c r="L6" i="14"/>
  <c r="M6" i="14" s="1"/>
  <c r="N6" i="14" s="1"/>
  <c r="K8" i="14"/>
  <c r="L8" i="14" s="1"/>
  <c r="K12" i="14"/>
  <c r="L21" i="14"/>
  <c r="K21" i="14"/>
  <c r="L79" i="14"/>
  <c r="M79" i="14" s="1"/>
  <c r="N79" i="14" s="1"/>
  <c r="K83" i="14"/>
  <c r="L83" i="14" s="1"/>
  <c r="M88" i="14"/>
  <c r="N88" i="14" s="1"/>
  <c r="L93" i="14"/>
  <c r="K93" i="14"/>
  <c r="K96" i="14"/>
  <c r="L96" i="14"/>
  <c r="M457" i="14"/>
  <c r="N457" i="14" s="1"/>
  <c r="M316" i="14"/>
  <c r="N316" i="14" s="1"/>
  <c r="L2" i="14"/>
  <c r="M2" i="14" s="1"/>
  <c r="N2" i="14" s="1"/>
  <c r="K5" i="14"/>
  <c r="L9" i="14"/>
  <c r="M9" i="14" s="1"/>
  <c r="N9" i="14" s="1"/>
  <c r="L13" i="14"/>
  <c r="M16" i="14"/>
  <c r="N16" i="14" s="1"/>
  <c r="K55" i="14"/>
  <c r="L55" i="14" s="1"/>
  <c r="K121" i="14"/>
  <c r="K137" i="14"/>
  <c r="L137" i="14" s="1"/>
  <c r="K153" i="14"/>
  <c r="K221" i="14"/>
  <c r="L221" i="14" s="1"/>
  <c r="L243" i="14"/>
  <c r="M243" i="14" s="1"/>
  <c r="N243" i="14" s="1"/>
  <c r="K13" i="14"/>
  <c r="L17" i="14"/>
  <c r="M17" i="14" s="1"/>
  <c r="N17" i="14" s="1"/>
  <c r="M28" i="14"/>
  <c r="N28" i="14" s="1"/>
  <c r="L37" i="14"/>
  <c r="M37" i="14" s="1"/>
  <c r="N37" i="14" s="1"/>
  <c r="L40" i="14"/>
  <c r="K40" i="14"/>
  <c r="L48" i="14"/>
  <c r="M48" i="14" s="1"/>
  <c r="N48" i="14" s="1"/>
  <c r="M50" i="14"/>
  <c r="N50" i="14" s="1"/>
  <c r="M59" i="14"/>
  <c r="N59" i="14" s="1"/>
  <c r="M75" i="14"/>
  <c r="N75" i="14" s="1"/>
  <c r="K94" i="14"/>
  <c r="L94" i="14" s="1"/>
  <c r="M105" i="14"/>
  <c r="N105" i="14" s="1"/>
  <c r="M313" i="14"/>
  <c r="N313" i="14" s="1"/>
  <c r="L313" i="14"/>
  <c r="K326" i="14"/>
  <c r="L326" i="14"/>
  <c r="M446" i="14"/>
  <c r="N446" i="14" s="1"/>
  <c r="L446" i="14"/>
  <c r="L470" i="14"/>
  <c r="M470" i="14" s="1"/>
  <c r="N470" i="14" s="1"/>
  <c r="K474" i="14"/>
  <c r="L474" i="14" s="1"/>
  <c r="K489" i="14"/>
  <c r="K496" i="14"/>
  <c r="L496" i="14" s="1"/>
  <c r="L47" i="14"/>
  <c r="M47" i="14" s="1"/>
  <c r="N47" i="14" s="1"/>
  <c r="L54" i="14"/>
  <c r="K54" i="14"/>
  <c r="K58" i="14"/>
  <c r="L58" i="14"/>
  <c r="L62" i="14"/>
  <c r="K62" i="14"/>
  <c r="K66" i="14"/>
  <c r="L66" i="14"/>
  <c r="K89" i="14"/>
  <c r="M92" i="14"/>
  <c r="N92" i="14" s="1"/>
  <c r="K114" i="14"/>
  <c r="L114" i="14"/>
  <c r="K130" i="14"/>
  <c r="L130" i="14" s="1"/>
  <c r="K146" i="14"/>
  <c r="L146" i="14"/>
  <c r="L237" i="14"/>
  <c r="K237" i="14"/>
  <c r="K32" i="14"/>
  <c r="L32" i="14" s="1"/>
  <c r="M36" i="14"/>
  <c r="N36" i="14" s="1"/>
  <c r="L42" i="14"/>
  <c r="M42" i="14" s="1"/>
  <c r="N42" i="14" s="1"/>
  <c r="K46" i="14"/>
  <c r="M51" i="14"/>
  <c r="N51" i="14" s="1"/>
  <c r="L92" i="14"/>
  <c r="K102" i="14"/>
  <c r="L102" i="14" s="1"/>
  <c r="L109" i="14"/>
  <c r="M109" i="14" s="1"/>
  <c r="N109" i="14" s="1"/>
  <c r="K158" i="14"/>
  <c r="L158" i="14" s="1"/>
  <c r="L67" i="14"/>
  <c r="M67" i="14" s="1"/>
  <c r="N67" i="14" s="1"/>
  <c r="L75" i="14"/>
  <c r="L88" i="14"/>
  <c r="L168" i="14"/>
  <c r="L184" i="14"/>
  <c r="M196" i="14"/>
  <c r="N196" i="14" s="1"/>
  <c r="M212" i="14"/>
  <c r="N212" i="14" s="1"/>
  <c r="M228" i="14"/>
  <c r="N228" i="14" s="1"/>
  <c r="K261" i="14"/>
  <c r="L261" i="14" s="1"/>
  <c r="M285" i="14"/>
  <c r="N285" i="14" s="1"/>
  <c r="M306" i="14"/>
  <c r="N306" i="14" s="1"/>
  <c r="L309" i="14"/>
  <c r="M309" i="14" s="1"/>
  <c r="N309" i="14" s="1"/>
  <c r="M478" i="14"/>
  <c r="N478" i="14" s="1"/>
  <c r="L478" i="14"/>
  <c r="L481" i="14"/>
  <c r="K481" i="14"/>
  <c r="M535" i="14"/>
  <c r="N535" i="14" s="1"/>
  <c r="K70" i="14"/>
  <c r="L74" i="14"/>
  <c r="M74" i="14" s="1"/>
  <c r="N74" i="14" s="1"/>
  <c r="K78" i="14"/>
  <c r="L82" i="14"/>
  <c r="M82" i="14" s="1"/>
  <c r="N82" i="14" s="1"/>
  <c r="L97" i="14"/>
  <c r="M97" i="14" s="1"/>
  <c r="N97" i="14" s="1"/>
  <c r="L104" i="14"/>
  <c r="M104" i="14" s="1"/>
  <c r="N104" i="14" s="1"/>
  <c r="L110" i="14"/>
  <c r="M110" i="14" s="1"/>
  <c r="N110" i="14" s="1"/>
  <c r="L126" i="14"/>
  <c r="M126" i="14" s="1"/>
  <c r="N126" i="14" s="1"/>
  <c r="L142" i="14"/>
  <c r="M142" i="14" s="1"/>
  <c r="N142" i="14" s="1"/>
  <c r="K154" i="14"/>
  <c r="L154" i="14"/>
  <c r="K162" i="14"/>
  <c r="L162" i="14" s="1"/>
  <c r="K166" i="14"/>
  <c r="L166" i="14"/>
  <c r="K170" i="14"/>
  <c r="L170" i="14" s="1"/>
  <c r="K174" i="14"/>
  <c r="L174" i="14"/>
  <c r="K178" i="14"/>
  <c r="L178" i="14" s="1"/>
  <c r="K182" i="14"/>
  <c r="L182" i="14"/>
  <c r="K186" i="14"/>
  <c r="L186" i="14" s="1"/>
  <c r="K190" i="14"/>
  <c r="L190" i="14"/>
  <c r="K194" i="14"/>
  <c r="L194" i="14" s="1"/>
  <c r="L200" i="14"/>
  <c r="K200" i="14"/>
  <c r="K202" i="14"/>
  <c r="L208" i="14"/>
  <c r="K208" i="14"/>
  <c r="K210" i="14"/>
  <c r="L216" i="14"/>
  <c r="K216" i="14"/>
  <c r="K218" i="14"/>
  <c r="K224" i="14"/>
  <c r="K226" i="14"/>
  <c r="L226" i="14" s="1"/>
  <c r="L232" i="14"/>
  <c r="K232" i="14"/>
  <c r="M257" i="14"/>
  <c r="N257" i="14" s="1"/>
  <c r="K277" i="14"/>
  <c r="L277" i="14" s="1"/>
  <c r="L285" i="14"/>
  <c r="L293" i="14"/>
  <c r="M293" i="14" s="1"/>
  <c r="N293" i="14" s="1"/>
  <c r="K305" i="14"/>
  <c r="L305" i="14" s="1"/>
  <c r="K310" i="14"/>
  <c r="L310" i="14"/>
  <c r="L318" i="14"/>
  <c r="K318" i="14"/>
  <c r="K325" i="14"/>
  <c r="L325" i="14" s="1"/>
  <c r="L329" i="14"/>
  <c r="M329" i="14" s="1"/>
  <c r="N329" i="14" s="1"/>
  <c r="L337" i="14"/>
  <c r="M337" i="14" s="1"/>
  <c r="N337" i="14" s="1"/>
  <c r="K414" i="14"/>
  <c r="L426" i="14"/>
  <c r="K426" i="14"/>
  <c r="M545" i="14"/>
  <c r="N545" i="14" s="1"/>
  <c r="K559" i="14"/>
  <c r="L559" i="14" s="1"/>
  <c r="M80" i="14"/>
  <c r="N80" i="14" s="1"/>
  <c r="L98" i="14"/>
  <c r="M98" i="14" s="1"/>
  <c r="N98" i="14" s="1"/>
  <c r="L196" i="14"/>
  <c r="L204" i="14"/>
  <c r="M204" i="14" s="1"/>
  <c r="N204" i="14" s="1"/>
  <c r="L212" i="14"/>
  <c r="L220" i="14"/>
  <c r="M220" i="14" s="1"/>
  <c r="N220" i="14" s="1"/>
  <c r="L228" i="14"/>
  <c r="K241" i="14"/>
  <c r="L241" i="14" s="1"/>
  <c r="M253" i="14"/>
  <c r="N253" i="14" s="1"/>
  <c r="L257" i="14"/>
  <c r="L262" i="14"/>
  <c r="K262" i="14"/>
  <c r="L265" i="14"/>
  <c r="M265" i="14" s="1"/>
  <c r="N265" i="14" s="1"/>
  <c r="L278" i="14"/>
  <c r="M278" i="14" s="1"/>
  <c r="N278" i="14" s="1"/>
  <c r="K281" i="14"/>
  <c r="L281" i="14" s="1"/>
  <c r="L301" i="14"/>
  <c r="M301" i="14" s="1"/>
  <c r="N301" i="14" s="1"/>
  <c r="L319" i="14"/>
  <c r="M319" i="14" s="1"/>
  <c r="N319" i="14" s="1"/>
  <c r="M321" i="14"/>
  <c r="N321" i="14" s="1"/>
  <c r="M322" i="14"/>
  <c r="N322" i="14" s="1"/>
  <c r="M353" i="14"/>
  <c r="N353" i="14" s="1"/>
  <c r="M385" i="14"/>
  <c r="N385" i="14" s="1"/>
  <c r="K398" i="14"/>
  <c r="L398" i="14" s="1"/>
  <c r="K466" i="14"/>
  <c r="L466" i="14" s="1"/>
  <c r="K501" i="14"/>
  <c r="L501" i="14" s="1"/>
  <c r="K543" i="14"/>
  <c r="L543" i="14" s="1"/>
  <c r="M269" i="14"/>
  <c r="N269" i="14" s="1"/>
  <c r="L294" i="14"/>
  <c r="M294" i="14" s="1"/>
  <c r="N294" i="14" s="1"/>
  <c r="L314" i="14"/>
  <c r="M314" i="14" s="1"/>
  <c r="N314" i="14" s="1"/>
  <c r="L410" i="14"/>
  <c r="M410" i="14" s="1"/>
  <c r="N410" i="14" s="1"/>
  <c r="K413" i="14"/>
  <c r="L413" i="14" s="1"/>
  <c r="L425" i="14"/>
  <c r="L434" i="14"/>
  <c r="M434" i="14" s="1"/>
  <c r="N434" i="14" s="1"/>
  <c r="K500" i="14"/>
  <c r="L500" i="14" s="1"/>
  <c r="L505" i="14"/>
  <c r="K505" i="14"/>
  <c r="L517" i="14"/>
  <c r="M517" i="14" s="1"/>
  <c r="N517" i="14" s="1"/>
  <c r="L535" i="14"/>
  <c r="M608" i="14"/>
  <c r="N608" i="14" s="1"/>
  <c r="M628" i="14"/>
  <c r="N628" i="14" s="1"/>
  <c r="L646" i="14"/>
  <c r="K646" i="14"/>
  <c r="L345" i="14"/>
  <c r="M345" i="14" s="1"/>
  <c r="N345" i="14" s="1"/>
  <c r="L353" i="14"/>
  <c r="L361" i="14"/>
  <c r="M361" i="14" s="1"/>
  <c r="N361" i="14" s="1"/>
  <c r="L369" i="14"/>
  <c r="M369" i="14" s="1"/>
  <c r="N369" i="14" s="1"/>
  <c r="L377" i="14"/>
  <c r="M377" i="14" s="1"/>
  <c r="N377" i="14" s="1"/>
  <c r="L385" i="14"/>
  <c r="M389" i="14"/>
  <c r="N389" i="14" s="1"/>
  <c r="L394" i="14"/>
  <c r="K394" i="14"/>
  <c r="L417" i="14"/>
  <c r="M417" i="14" s="1"/>
  <c r="N417" i="14" s="1"/>
  <c r="K421" i="14"/>
  <c r="L421" i="14" s="1"/>
  <c r="M442" i="14"/>
  <c r="N442" i="14" s="1"/>
  <c r="L485" i="14"/>
  <c r="L550" i="14"/>
  <c r="M550" i="14" s="1"/>
  <c r="N550" i="14" s="1"/>
  <c r="L555" i="14"/>
  <c r="M555" i="14" s="1"/>
  <c r="N555" i="14" s="1"/>
  <c r="M561" i="14"/>
  <c r="N561" i="14" s="1"/>
  <c r="K563" i="14"/>
  <c r="L563" i="14" s="1"/>
  <c r="K638" i="14"/>
  <c r="K164" i="14"/>
  <c r="L164" i="14" s="1"/>
  <c r="K168" i="14"/>
  <c r="K172" i="14"/>
  <c r="K176" i="14"/>
  <c r="L176" i="14" s="1"/>
  <c r="K180" i="14"/>
  <c r="L180" i="14" s="1"/>
  <c r="K184" i="14"/>
  <c r="K188" i="14"/>
  <c r="K192" i="14"/>
  <c r="L246" i="14"/>
  <c r="M246" i="14" s="1"/>
  <c r="N246" i="14" s="1"/>
  <c r="L297" i="14"/>
  <c r="M297" i="14" s="1"/>
  <c r="N297" i="14" s="1"/>
  <c r="K341" i="14"/>
  <c r="K349" i="14"/>
  <c r="L349" i="14" s="1"/>
  <c r="K357" i="14"/>
  <c r="K365" i="14"/>
  <c r="K373" i="14"/>
  <c r="K381" i="14"/>
  <c r="L401" i="14"/>
  <c r="M401" i="14" s="1"/>
  <c r="N401" i="14" s="1"/>
  <c r="M405" i="14"/>
  <c r="N405" i="14" s="1"/>
  <c r="M418" i="14"/>
  <c r="N418" i="14" s="1"/>
  <c r="L422" i="14"/>
  <c r="K422" i="14"/>
  <c r="K425" i="14"/>
  <c r="L427" i="14"/>
  <c r="M427" i="14" s="1"/>
  <c r="N427" i="14" s="1"/>
  <c r="L429" i="14"/>
  <c r="M429" i="14" s="1"/>
  <c r="N429" i="14" s="1"/>
  <c r="K485" i="14"/>
  <c r="K516" i="14"/>
  <c r="L516" i="14" s="1"/>
  <c r="L537" i="14"/>
  <c r="M537" i="14" s="1"/>
  <c r="N537" i="14" s="1"/>
  <c r="L539" i="14"/>
  <c r="M539" i="14" s="1"/>
  <c r="N539" i="14" s="1"/>
  <c r="K541" i="14"/>
  <c r="L541" i="14" s="1"/>
  <c r="L547" i="14"/>
  <c r="M547" i="14" s="1"/>
  <c r="N547" i="14" s="1"/>
  <c r="K549" i="14"/>
  <c r="L549" i="14" s="1"/>
  <c r="M557" i="14"/>
  <c r="N557" i="14" s="1"/>
  <c r="K621" i="14"/>
  <c r="K634" i="14"/>
  <c r="L634" i="14" s="1"/>
  <c r="K650" i="14"/>
  <c r="L553" i="14"/>
  <c r="M553" i="14" s="1"/>
  <c r="N553" i="14" s="1"/>
  <c r="K565" i="14"/>
  <c r="L565" i="14" s="1"/>
  <c r="M567" i="14"/>
  <c r="N567" i="14" s="1"/>
  <c r="M571" i="14"/>
  <c r="N571" i="14" s="1"/>
  <c r="M575" i="14"/>
  <c r="N575" i="14" s="1"/>
  <c r="M579" i="14"/>
  <c r="N579" i="14" s="1"/>
  <c r="M583" i="14"/>
  <c r="N583" i="14" s="1"/>
  <c r="M587" i="14"/>
  <c r="N587" i="14" s="1"/>
  <c r="M591" i="14"/>
  <c r="N591" i="14" s="1"/>
  <c r="M595" i="14"/>
  <c r="N595" i="14" s="1"/>
  <c r="M599" i="14"/>
  <c r="N599" i="14" s="1"/>
  <c r="M603" i="14"/>
  <c r="N603" i="14" s="1"/>
  <c r="M607" i="14"/>
  <c r="N607" i="14" s="1"/>
  <c r="L620" i="14"/>
  <c r="M620" i="14" s="1"/>
  <c r="N620" i="14" s="1"/>
  <c r="L612" i="14"/>
  <c r="M612" i="14" s="1"/>
  <c r="N612" i="14" s="1"/>
  <c r="M625" i="14"/>
  <c r="N625" i="14" s="1"/>
  <c r="L629" i="14"/>
  <c r="M629" i="14" s="1"/>
  <c r="N629" i="14" s="1"/>
  <c r="L636" i="14"/>
  <c r="M636" i="14" s="1"/>
  <c r="N636" i="14" s="1"/>
  <c r="L644" i="14"/>
  <c r="L568" i="14"/>
  <c r="M568" i="14" s="1"/>
  <c r="N568" i="14" s="1"/>
  <c r="L572" i="14"/>
  <c r="L576" i="14"/>
  <c r="M576" i="14" s="1"/>
  <c r="N576" i="14" s="1"/>
  <c r="L580" i="14"/>
  <c r="M580" i="14" s="1"/>
  <c r="N580" i="14" s="1"/>
  <c r="L584" i="14"/>
  <c r="L588" i="14"/>
  <c r="M588" i="14" s="1"/>
  <c r="N588" i="14" s="1"/>
  <c r="L592" i="14"/>
  <c r="M592" i="14" s="1"/>
  <c r="N592" i="14" s="1"/>
  <c r="L596" i="14"/>
  <c r="L600" i="14"/>
  <c r="M600" i="14" s="1"/>
  <c r="N600" i="14" s="1"/>
  <c r="L604" i="14"/>
  <c r="M632" i="14"/>
  <c r="N632" i="14" s="1"/>
  <c r="L632" i="14"/>
  <c r="L640" i="14"/>
  <c r="M640" i="14" s="1"/>
  <c r="N640" i="14" s="1"/>
  <c r="M644" i="14"/>
  <c r="N644" i="14" s="1"/>
  <c r="M648" i="14"/>
  <c r="N648" i="14" s="1"/>
  <c r="L648" i="14"/>
  <c r="Z14" i="14"/>
  <c r="AB14" i="14"/>
  <c r="AA16" i="14"/>
  <c r="AC19" i="14"/>
  <c r="AC17" i="14" l="1"/>
  <c r="AC18" i="14"/>
  <c r="AC7" i="14"/>
  <c r="Z9" i="14"/>
  <c r="AA9" i="14" s="1"/>
  <c r="F11" i="14"/>
  <c r="AB9" i="14"/>
  <c r="AB11" i="14"/>
  <c r="AC11" i="14" s="1"/>
  <c r="AC15" i="14"/>
  <c r="AB12" i="14"/>
  <c r="Z12" i="14"/>
  <c r="F12" i="14"/>
  <c r="AB10" i="14"/>
  <c r="AC10" i="14" s="1"/>
  <c r="F10" i="14"/>
  <c r="F13" i="14"/>
  <c r="Z13" i="14"/>
  <c r="AB13" i="14"/>
  <c r="F8" i="14"/>
  <c r="Z8" i="14"/>
  <c r="AC14" i="14"/>
  <c r="AA14" i="14"/>
  <c r="M638" i="14"/>
  <c r="N638" i="14" s="1"/>
  <c r="M224" i="14"/>
  <c r="N224" i="14" s="1"/>
  <c r="M46" i="14"/>
  <c r="N46" i="14" s="1"/>
  <c r="M489" i="14"/>
  <c r="N489" i="14" s="1"/>
  <c r="M12" i="14"/>
  <c r="N12" i="14" s="1"/>
  <c r="M43" i="14"/>
  <c r="N43" i="14" s="1"/>
  <c r="M172" i="14"/>
  <c r="N172" i="14" s="1"/>
  <c r="L638" i="14"/>
  <c r="M646" i="14"/>
  <c r="N646" i="14" s="1"/>
  <c r="L373" i="14"/>
  <c r="M373" i="14" s="1"/>
  <c r="N373" i="14" s="1"/>
  <c r="L341" i="14"/>
  <c r="M341" i="14" s="1"/>
  <c r="N341" i="14" s="1"/>
  <c r="M262" i="14"/>
  <c r="N262" i="14" s="1"/>
  <c r="L414" i="14"/>
  <c r="M414" i="14" s="1"/>
  <c r="N414" i="14" s="1"/>
  <c r="M310" i="14"/>
  <c r="N310" i="14" s="1"/>
  <c r="M232" i="14"/>
  <c r="N232" i="14" s="1"/>
  <c r="L224" i="14"/>
  <c r="M200" i="14"/>
  <c r="N200" i="14" s="1"/>
  <c r="M190" i="14"/>
  <c r="N190" i="14" s="1"/>
  <c r="M182" i="14"/>
  <c r="N182" i="14" s="1"/>
  <c r="M174" i="14"/>
  <c r="N174" i="14" s="1"/>
  <c r="M166" i="14"/>
  <c r="N166" i="14" s="1"/>
  <c r="M154" i="14"/>
  <c r="N154" i="14" s="1"/>
  <c r="M481" i="14"/>
  <c r="N481" i="14" s="1"/>
  <c r="L210" i="14"/>
  <c r="M210" i="14" s="1"/>
  <c r="N210" i="14" s="1"/>
  <c r="L46" i="14"/>
  <c r="M146" i="14"/>
  <c r="N146" i="14" s="1"/>
  <c r="M114" i="14"/>
  <c r="N114" i="14" s="1"/>
  <c r="L89" i="14"/>
  <c r="M89" i="14" s="1"/>
  <c r="N89" i="14" s="1"/>
  <c r="M66" i="14"/>
  <c r="N66" i="14" s="1"/>
  <c r="M58" i="14"/>
  <c r="N58" i="14" s="1"/>
  <c r="L489" i="14"/>
  <c r="M326" i="14"/>
  <c r="N326" i="14" s="1"/>
  <c r="M40" i="14"/>
  <c r="N40" i="14" s="1"/>
  <c r="M96" i="14"/>
  <c r="N96" i="14" s="1"/>
  <c r="M21" i="14"/>
  <c r="N21" i="14" s="1"/>
  <c r="L24" i="14"/>
  <c r="M24" i="14" s="1"/>
  <c r="N24" i="14" s="1"/>
  <c r="M63" i="14"/>
  <c r="N63" i="14" s="1"/>
  <c r="M10" i="14"/>
  <c r="N10" i="14" s="1"/>
  <c r="M565" i="14"/>
  <c r="N565" i="14" s="1"/>
  <c r="M650" i="14"/>
  <c r="N650" i="14" s="1"/>
  <c r="L381" i="14"/>
  <c r="M381" i="14" s="1"/>
  <c r="N381" i="14" s="1"/>
  <c r="M501" i="14"/>
  <c r="N501" i="14" s="1"/>
  <c r="M325" i="14"/>
  <c r="N325" i="14" s="1"/>
  <c r="M102" i="14"/>
  <c r="N102" i="14" s="1"/>
  <c r="M32" i="14"/>
  <c r="N32" i="14" s="1"/>
  <c r="M121" i="14"/>
  <c r="N121" i="14" s="1"/>
  <c r="M634" i="14"/>
  <c r="N634" i="14" s="1"/>
  <c r="M541" i="14"/>
  <c r="N541" i="14" s="1"/>
  <c r="M516" i="14"/>
  <c r="N516" i="14" s="1"/>
  <c r="M425" i="14"/>
  <c r="N425" i="14" s="1"/>
  <c r="M184" i="14"/>
  <c r="N184" i="14" s="1"/>
  <c r="M168" i="14"/>
  <c r="N168" i="14" s="1"/>
  <c r="M394" i="14"/>
  <c r="N394" i="14" s="1"/>
  <c r="M500" i="14"/>
  <c r="N500" i="14" s="1"/>
  <c r="M413" i="14"/>
  <c r="N413" i="14" s="1"/>
  <c r="L365" i="14"/>
  <c r="M365" i="14" s="1"/>
  <c r="N365" i="14" s="1"/>
  <c r="M543" i="14"/>
  <c r="N543" i="14" s="1"/>
  <c r="M281" i="14"/>
  <c r="N281" i="14" s="1"/>
  <c r="M241" i="14"/>
  <c r="N241" i="14" s="1"/>
  <c r="M426" i="14"/>
  <c r="N426" i="14" s="1"/>
  <c r="M318" i="14"/>
  <c r="N318" i="14" s="1"/>
  <c r="M277" i="14"/>
  <c r="N277" i="14" s="1"/>
  <c r="M218" i="14"/>
  <c r="N218" i="14" s="1"/>
  <c r="M208" i="14"/>
  <c r="N208" i="14" s="1"/>
  <c r="L192" i="14"/>
  <c r="M192" i="14" s="1"/>
  <c r="N192" i="14" s="1"/>
  <c r="M158" i="14"/>
  <c r="N158" i="14" s="1"/>
  <c r="M237" i="14"/>
  <c r="N237" i="14" s="1"/>
  <c r="L78" i="14"/>
  <c r="M78" i="14" s="1"/>
  <c r="N78" i="14" s="1"/>
  <c r="M62" i="14"/>
  <c r="N62" i="14" s="1"/>
  <c r="M54" i="14"/>
  <c r="N54" i="14" s="1"/>
  <c r="M13" i="14"/>
  <c r="N13" i="14" s="1"/>
  <c r="M221" i="14"/>
  <c r="N221" i="14" s="1"/>
  <c r="M137" i="14"/>
  <c r="N137" i="14" s="1"/>
  <c r="M55" i="14"/>
  <c r="N55" i="14" s="1"/>
  <c r="M93" i="14"/>
  <c r="N93" i="14" s="1"/>
  <c r="M83" i="14"/>
  <c r="N83" i="14" s="1"/>
  <c r="M8" i="14"/>
  <c r="N8" i="14" s="1"/>
  <c r="M642" i="14"/>
  <c r="N642" i="14" s="1"/>
  <c r="M14" i="14"/>
  <c r="N14" i="14" s="1"/>
  <c r="M349" i="14"/>
  <c r="N349" i="14" s="1"/>
  <c r="M176" i="14"/>
  <c r="N176" i="14" s="1"/>
  <c r="M398" i="14"/>
  <c r="N398" i="14" s="1"/>
  <c r="L650" i="14"/>
  <c r="L621" i="14"/>
  <c r="M621" i="14" s="1"/>
  <c r="N621" i="14" s="1"/>
  <c r="M549" i="14"/>
  <c r="N549" i="14" s="1"/>
  <c r="M485" i="14"/>
  <c r="N485" i="14" s="1"/>
  <c r="M422" i="14"/>
  <c r="N422" i="14" s="1"/>
  <c r="M357" i="14"/>
  <c r="N357" i="14" s="1"/>
  <c r="M180" i="14"/>
  <c r="N180" i="14" s="1"/>
  <c r="M164" i="14"/>
  <c r="N164" i="14" s="1"/>
  <c r="M563" i="14"/>
  <c r="N563" i="14" s="1"/>
  <c r="M421" i="14"/>
  <c r="N421" i="14" s="1"/>
  <c r="M505" i="14"/>
  <c r="N505" i="14" s="1"/>
  <c r="L357" i="14"/>
  <c r="M466" i="14"/>
  <c r="N466" i="14" s="1"/>
  <c r="M559" i="14"/>
  <c r="N559" i="14" s="1"/>
  <c r="M305" i="14"/>
  <c r="N305" i="14" s="1"/>
  <c r="M226" i="14"/>
  <c r="N226" i="14" s="1"/>
  <c r="M216" i="14"/>
  <c r="N216" i="14" s="1"/>
  <c r="M194" i="14"/>
  <c r="N194" i="14" s="1"/>
  <c r="M186" i="14"/>
  <c r="N186" i="14" s="1"/>
  <c r="M178" i="14"/>
  <c r="N178" i="14" s="1"/>
  <c r="M170" i="14"/>
  <c r="N170" i="14" s="1"/>
  <c r="M162" i="14"/>
  <c r="N162" i="14" s="1"/>
  <c r="M261" i="14"/>
  <c r="N261" i="14" s="1"/>
  <c r="L218" i="14"/>
  <c r="L202" i="14"/>
  <c r="M202" i="14" s="1"/>
  <c r="N202" i="14" s="1"/>
  <c r="L188" i="14"/>
  <c r="M188" i="14" s="1"/>
  <c r="N188" i="14" s="1"/>
  <c r="L172" i="14"/>
  <c r="M130" i="14"/>
  <c r="N130" i="14" s="1"/>
  <c r="L70" i="14"/>
  <c r="M70" i="14" s="1"/>
  <c r="N70" i="14" s="1"/>
  <c r="M496" i="14"/>
  <c r="N496" i="14" s="1"/>
  <c r="M474" i="14"/>
  <c r="N474" i="14" s="1"/>
  <c r="M94" i="14"/>
  <c r="N94" i="14" s="1"/>
  <c r="L153" i="14"/>
  <c r="M153" i="14" s="1"/>
  <c r="N153" i="14" s="1"/>
  <c r="L121" i="14"/>
  <c r="L5" i="14"/>
  <c r="M5" i="14" s="1"/>
  <c r="N5" i="14" s="1"/>
  <c r="L12" i="14"/>
  <c r="M29" i="14"/>
  <c r="N29" i="14" s="1"/>
  <c r="M317" i="14"/>
  <c r="N317" i="14" s="1"/>
  <c r="L43" i="14"/>
  <c r="AA11" i="14"/>
  <c r="E11" i="2" l="1"/>
  <c r="AC9" i="14"/>
  <c r="K7" i="2"/>
  <c r="AA13" i="14"/>
  <c r="AC13" i="14"/>
  <c r="AA8" i="14"/>
  <c r="AC8" i="14"/>
  <c r="AA12" i="14"/>
  <c r="AC12" i="14"/>
  <c r="H24" i="14" a="1"/>
  <c r="H24" i="14" s="1"/>
  <c r="P24" i="14" s="1"/>
  <c r="H37" i="14" a="1"/>
  <c r="H37" i="14" s="1"/>
  <c r="P37" i="14" s="1"/>
  <c r="Q37" i="14" s="1"/>
  <c r="H10" i="14" a="1"/>
  <c r="H10" i="14" s="1"/>
  <c r="P10" i="14" s="1"/>
  <c r="H38" i="14" a="1"/>
  <c r="H38" i="14" s="1"/>
  <c r="P38" i="14" s="1"/>
  <c r="Q38" i="14" s="1"/>
  <c r="H31" i="14" a="1"/>
  <c r="H31" i="14" s="1"/>
  <c r="P31" i="14" s="1"/>
  <c r="Q31" i="14" s="1"/>
  <c r="H25" i="14" a="1"/>
  <c r="H25" i="14" s="1"/>
  <c r="P25" i="14" s="1"/>
  <c r="H32" i="14" a="1"/>
  <c r="H32" i="14" s="1"/>
  <c r="P32" i="14" s="1"/>
  <c r="Q32" i="14" s="1"/>
  <c r="H35" i="14" a="1"/>
  <c r="H35" i="14" s="1"/>
  <c r="P35" i="14" s="1"/>
  <c r="Q35" i="14" s="1"/>
  <c r="H13" i="14" a="1"/>
  <c r="H13" i="14" s="1"/>
  <c r="P13" i="14" s="1"/>
  <c r="H19" i="14" a="1"/>
  <c r="H19" i="14" s="1"/>
  <c r="P19" i="14" s="1"/>
  <c r="H34" i="14" a="1"/>
  <c r="H34" i="14" s="1"/>
  <c r="P34" i="14" s="1"/>
  <c r="Q34" i="14" s="1"/>
  <c r="H28" i="14" a="1"/>
  <c r="H28" i="14" s="1"/>
  <c r="P28" i="14" s="1"/>
  <c r="Q28" i="14" s="1"/>
  <c r="H3" i="14" a="1"/>
  <c r="H3" i="14" s="1"/>
  <c r="H21" i="14" a="1"/>
  <c r="H21" i="14" s="1"/>
  <c r="P21" i="14" s="1"/>
  <c r="H14" i="14" a="1"/>
  <c r="H14" i="14" s="1"/>
  <c r="P14" i="14" s="1"/>
  <c r="H6" i="14" a="1"/>
  <c r="H6" i="14" s="1"/>
  <c r="P6" i="14" s="1"/>
  <c r="H40" i="14" a="1"/>
  <c r="H40" i="14" s="1"/>
  <c r="P40" i="14" s="1"/>
  <c r="Q40" i="14" s="1"/>
  <c r="H36" i="14" a="1"/>
  <c r="H36" i="14" s="1"/>
  <c r="P36" i="14" s="1"/>
  <c r="Q36" i="14" s="1"/>
  <c r="H18" i="14" a="1"/>
  <c r="H18" i="14" s="1"/>
  <c r="P18" i="14" s="1"/>
  <c r="H22" i="14" a="1"/>
  <c r="H22" i="14" s="1"/>
  <c r="P22" i="14" s="1"/>
  <c r="H4" i="14" a="1"/>
  <c r="H4" i="14" s="1"/>
  <c r="P4" i="14" s="1"/>
  <c r="H11" i="14" a="1"/>
  <c r="H11" i="14" s="1"/>
  <c r="P11" i="14" s="1"/>
  <c r="H27" i="14" a="1"/>
  <c r="H27" i="14" s="1"/>
  <c r="P27" i="14" s="1"/>
  <c r="Q27" i="14" s="1"/>
  <c r="H33" i="14" a="1"/>
  <c r="H33" i="14" s="1"/>
  <c r="P33" i="14" s="1"/>
  <c r="Q33" i="14" s="1"/>
  <c r="H15" i="14" a="1"/>
  <c r="H15" i="14" s="1"/>
  <c r="P15" i="14" s="1"/>
  <c r="H39" i="14" a="1"/>
  <c r="H39" i="14" s="1"/>
  <c r="P39" i="14" s="1"/>
  <c r="Q39" i="14" s="1"/>
  <c r="H16" i="14" a="1"/>
  <c r="H16" i="14" s="1"/>
  <c r="P16" i="14" s="1"/>
  <c r="H26" i="14" a="1"/>
  <c r="H26" i="14" s="1"/>
  <c r="P26" i="14" s="1"/>
  <c r="Q26" i="14" s="1"/>
  <c r="H12" i="14" a="1"/>
  <c r="H12" i="14" s="1"/>
  <c r="P12" i="14" s="1"/>
  <c r="Q12" i="14" s="1"/>
  <c r="H9" i="14" a="1"/>
  <c r="H9" i="14" s="1"/>
  <c r="P9" i="14" s="1"/>
  <c r="H23" i="14" a="1"/>
  <c r="H23" i="14" s="1"/>
  <c r="P23" i="14" s="1"/>
  <c r="H7" i="14" a="1"/>
  <c r="H7" i="14" s="1"/>
  <c r="P7" i="14" s="1"/>
  <c r="H20" i="14" a="1"/>
  <c r="H20" i="14" s="1"/>
  <c r="P20" i="14" s="1"/>
  <c r="H17" i="14" a="1"/>
  <c r="H17" i="14" s="1"/>
  <c r="P17" i="14" s="1"/>
  <c r="H29" i="14" a="1"/>
  <c r="H29" i="14" s="1"/>
  <c r="P29" i="14" s="1"/>
  <c r="Q29" i="14" s="1"/>
  <c r="H5" i="14" a="1"/>
  <c r="H5" i="14" s="1"/>
  <c r="P5" i="14" s="1"/>
  <c r="Q5" i="14" s="1"/>
  <c r="H30" i="14" a="1"/>
  <c r="H30" i="14" s="1"/>
  <c r="P30" i="14" s="1"/>
  <c r="Q30" i="14" s="1"/>
  <c r="H8" i="14" a="1"/>
  <c r="H8" i="14" s="1"/>
  <c r="P8" i="14" s="1"/>
  <c r="Q8" i="14" s="1"/>
  <c r="K8" i="2" l="1"/>
  <c r="X7" i="2"/>
  <c r="X3" i="2"/>
  <c r="X5" i="2"/>
  <c r="X4" i="2"/>
  <c r="X6" i="2"/>
  <c r="E11" i="3"/>
  <c r="X14" i="2"/>
  <c r="X16" i="2"/>
  <c r="X15" i="2"/>
  <c r="X13" i="2"/>
  <c r="X12" i="2"/>
  <c r="E35" i="2"/>
  <c r="E17" i="2"/>
  <c r="E24" i="2"/>
  <c r="E30" i="2"/>
  <c r="E20" i="2"/>
  <c r="E13" i="2"/>
  <c r="E12" i="2"/>
  <c r="E15" i="2"/>
  <c r="E22" i="2"/>
  <c r="E18" i="2"/>
  <c r="E40" i="2"/>
  <c r="E33" i="2"/>
  <c r="E36" i="2"/>
  <c r="E37" i="2"/>
  <c r="E28" i="2"/>
  <c r="E41" i="2"/>
  <c r="E38" i="2"/>
  <c r="E29" i="2"/>
  <c r="E21" i="2"/>
  <c r="E23" i="2"/>
  <c r="E25" i="2"/>
  <c r="E16" i="2"/>
  <c r="E19" i="2"/>
  <c r="E31" i="2"/>
  <c r="E14" i="2"/>
  <c r="E27" i="2"/>
  <c r="E26" i="2"/>
  <c r="E39" i="2"/>
  <c r="E34" i="2"/>
  <c r="E32" i="2"/>
  <c r="AV5" i="1"/>
  <c r="AV9" i="1"/>
  <c r="AV17" i="1"/>
  <c r="AV21" i="1"/>
  <c r="AV10" i="1"/>
  <c r="AV8" i="1"/>
  <c r="AV12" i="1"/>
  <c r="AV16" i="1"/>
  <c r="AV20" i="1"/>
  <c r="AV6" i="1"/>
  <c r="AV14" i="1"/>
  <c r="AV18" i="1"/>
  <c r="AV22" i="1"/>
  <c r="AV7" i="1"/>
  <c r="AV11" i="1"/>
  <c r="AV19" i="1"/>
  <c r="AV4" i="1"/>
  <c r="E34" i="4"/>
  <c r="E21" i="4"/>
  <c r="E27" i="4"/>
  <c r="E32" i="6"/>
  <c r="E38" i="7"/>
  <c r="E12" i="7"/>
  <c r="E13" i="7"/>
  <c r="E38" i="5"/>
  <c r="E35" i="5"/>
  <c r="E17" i="8"/>
  <c r="E22" i="8"/>
  <c r="E38" i="9"/>
  <c r="E26" i="9"/>
  <c r="E16" i="10"/>
  <c r="E22" i="10"/>
  <c r="E25" i="11"/>
  <c r="E35" i="11"/>
  <c r="E25" i="12"/>
  <c r="E38" i="12"/>
  <c r="E24" i="13"/>
  <c r="E40" i="13"/>
  <c r="E32" i="13"/>
  <c r="E16" i="6"/>
  <c r="E20" i="7"/>
  <c r="E36" i="8"/>
  <c r="E19" i="8"/>
  <c r="E33" i="10"/>
  <c r="E26" i="11"/>
  <c r="E40" i="12"/>
  <c r="E12" i="12"/>
  <c r="E11" i="13"/>
  <c r="E13" i="4"/>
  <c r="E34" i="6"/>
  <c r="E28" i="6"/>
  <c r="E40" i="7"/>
  <c r="E40" i="8"/>
  <c r="E35" i="9"/>
  <c r="E26" i="10"/>
  <c r="E36" i="11"/>
  <c r="E28" i="12"/>
  <c r="E28" i="13"/>
  <c r="E26" i="4"/>
  <c r="E29" i="4"/>
  <c r="E30" i="6"/>
  <c r="E12" i="6"/>
  <c r="E11" i="7"/>
  <c r="E21" i="5"/>
  <c r="E30" i="5"/>
  <c r="E16" i="8"/>
  <c r="E15" i="8"/>
  <c r="E12" i="9"/>
  <c r="E31" i="9"/>
  <c r="E28" i="10"/>
  <c r="E12" i="10"/>
  <c r="E13" i="11"/>
  <c r="E20" i="11"/>
  <c r="E36" i="12"/>
  <c r="E30" i="12"/>
  <c r="E16" i="12"/>
  <c r="E18" i="4"/>
  <c r="E15" i="4"/>
  <c r="E21" i="6"/>
  <c r="E14" i="7"/>
  <c r="E29" i="5"/>
  <c r="E31" i="8"/>
  <c r="E14" i="9"/>
  <c r="E24" i="10"/>
  <c r="E17" i="12"/>
  <c r="E16" i="13"/>
  <c r="E17" i="6"/>
  <c r="E21" i="7"/>
  <c r="E22" i="5"/>
  <c r="E30" i="8"/>
  <c r="E37" i="10"/>
  <c r="E38" i="10"/>
  <c r="E37" i="12"/>
  <c r="E38" i="13"/>
  <c r="E20" i="3"/>
  <c r="E16" i="3"/>
  <c r="E31" i="3"/>
  <c r="E28" i="3"/>
  <c r="E14" i="3"/>
  <c r="E38" i="3"/>
  <c r="E35" i="3"/>
  <c r="E20" i="4"/>
  <c r="E33" i="4"/>
  <c r="E22" i="6"/>
  <c r="E26" i="6"/>
  <c r="E22" i="7"/>
  <c r="E32" i="7"/>
  <c r="E13" i="5"/>
  <c r="E31" i="5"/>
  <c r="E19" i="5"/>
  <c r="E29" i="8"/>
  <c r="E18" i="8"/>
  <c r="E19" i="9"/>
  <c r="E33" i="9"/>
  <c r="E25" i="10"/>
  <c r="E11" i="10"/>
  <c r="E34" i="11"/>
  <c r="E12" i="11"/>
  <c r="E27" i="12"/>
  <c r="E31" i="12"/>
  <c r="E31" i="13"/>
  <c r="E25" i="13"/>
  <c r="E22" i="4"/>
  <c r="E31" i="6"/>
  <c r="E18" i="5"/>
  <c r="E20" i="8"/>
  <c r="E41" i="8"/>
  <c r="E27" i="10"/>
  <c r="E40" i="11"/>
  <c r="E24" i="12"/>
  <c r="E35" i="12"/>
  <c r="E39" i="13"/>
  <c r="E23" i="4"/>
  <c r="E24" i="6"/>
  <c r="E34" i="7"/>
  <c r="E37" i="5"/>
  <c r="E35" i="8"/>
  <c r="E11" i="9"/>
  <c r="E37" i="11"/>
  <c r="E27" i="11"/>
  <c r="E26" i="12"/>
  <c r="E18" i="13"/>
  <c r="E12" i="4"/>
  <c r="E39" i="4"/>
  <c r="E15" i="6"/>
  <c r="E41" i="6"/>
  <c r="E25" i="7"/>
  <c r="E39" i="5"/>
  <c r="E32" i="5"/>
  <c r="E26" i="8"/>
  <c r="E13" i="8"/>
  <c r="E37" i="9"/>
  <c r="E17" i="9"/>
  <c r="E29" i="10"/>
  <c r="E39" i="10"/>
  <c r="E38" i="11"/>
  <c r="E11" i="11"/>
  <c r="E20" i="12"/>
  <c r="E15" i="12"/>
  <c r="E30" i="13"/>
  <c r="E36" i="4"/>
  <c r="E17" i="4"/>
  <c r="E37" i="6"/>
  <c r="E15" i="7"/>
  <c r="E15" i="5"/>
  <c r="E27" i="8"/>
  <c r="E39" i="9"/>
  <c r="E33" i="11"/>
  <c r="E29" i="13"/>
  <c r="E16" i="4"/>
  <c r="E13" i="6"/>
  <c r="E16" i="7"/>
  <c r="E23" i="5"/>
  <c r="E20" i="9"/>
  <c r="E21" i="10"/>
  <c r="E31" i="10"/>
  <c r="E18" i="12"/>
  <c r="E34" i="13"/>
  <c r="E15" i="3"/>
  <c r="E32" i="3"/>
  <c r="E18" i="3"/>
  <c r="E23" i="3"/>
  <c r="E26" i="3"/>
  <c r="E36" i="3"/>
  <c r="E19" i="3"/>
  <c r="E40" i="4"/>
  <c r="E32" i="4"/>
  <c r="E25" i="6"/>
  <c r="E23" i="7"/>
  <c r="E33" i="5"/>
  <c r="E12" i="8"/>
  <c r="E24" i="9"/>
  <c r="E32" i="10"/>
  <c r="E15" i="10"/>
  <c r="E32" i="12"/>
  <c r="E21" i="13"/>
  <c r="E15" i="13"/>
  <c r="E31" i="7"/>
  <c r="E38" i="8"/>
  <c r="E23" i="10"/>
  <c r="E19" i="12"/>
  <c r="E28" i="4"/>
  <c r="E39" i="6"/>
  <c r="E40" i="5"/>
  <c r="E36" i="10"/>
  <c r="E23" i="11"/>
  <c r="E19" i="13"/>
  <c r="E23" i="6"/>
  <c r="E27" i="7"/>
  <c r="E25" i="5"/>
  <c r="E34" i="8"/>
  <c r="E25" i="9"/>
  <c r="E19" i="10"/>
  <c r="E16" i="11"/>
  <c r="E14" i="12"/>
  <c r="E41" i="13"/>
  <c r="E18" i="6"/>
  <c r="E17" i="7"/>
  <c r="E16" i="9"/>
  <c r="E23" i="12"/>
  <c r="E14" i="6"/>
  <c r="E17" i="5"/>
  <c r="E41" i="9"/>
  <c r="E14" i="11"/>
  <c r="E33" i="3"/>
  <c r="E13" i="3"/>
  <c r="E19" i="6"/>
  <c r="E14" i="8"/>
  <c r="E34" i="9"/>
  <c r="E18" i="11"/>
  <c r="E12" i="13"/>
  <c r="E32" i="9"/>
  <c r="E13" i="13"/>
  <c r="E25" i="4"/>
  <c r="E11" i="8"/>
  <c r="E22" i="12"/>
  <c r="E29" i="7"/>
  <c r="E23" i="8"/>
  <c r="E14" i="10"/>
  <c r="E33" i="12"/>
  <c r="E36" i="6"/>
  <c r="E15" i="9"/>
  <c r="E18" i="7"/>
  <c r="E40" i="10"/>
  <c r="E30" i="3"/>
  <c r="E41" i="4"/>
  <c r="E25" i="8"/>
  <c r="E34" i="10"/>
  <c r="E21" i="12"/>
  <c r="E27" i="6"/>
  <c r="E21" i="9"/>
  <c r="E26" i="13"/>
  <c r="E33" i="7"/>
  <c r="E32" i="11"/>
  <c r="E14" i="4"/>
  <c r="E28" i="7"/>
  <c r="E28" i="9"/>
  <c r="E29" i="11"/>
  <c r="E13" i="12"/>
  <c r="E37" i="8"/>
  <c r="E35" i="13"/>
  <c r="E24" i="8"/>
  <c r="E33" i="13"/>
  <c r="E25" i="3"/>
  <c r="E33" i="6"/>
  <c r="E39" i="7"/>
  <c r="E34" i="5"/>
  <c r="E28" i="8"/>
  <c r="E40" i="9"/>
  <c r="E29" i="9"/>
  <c r="E30" i="10"/>
  <c r="E41" i="11"/>
  <c r="E37" i="13"/>
  <c r="E27" i="13"/>
  <c r="E30" i="7"/>
  <c r="E39" i="8"/>
  <c r="E18" i="10"/>
  <c r="E29" i="12"/>
  <c r="E20" i="13"/>
  <c r="E35" i="6"/>
  <c r="E16" i="5"/>
  <c r="E23" i="9"/>
  <c r="E39" i="11"/>
  <c r="E23" i="13"/>
  <c r="E11" i="4"/>
  <c r="E26" i="7"/>
  <c r="E36" i="5"/>
  <c r="E21" i="8"/>
  <c r="E22" i="9"/>
  <c r="E13" i="10"/>
  <c r="E22" i="11"/>
  <c r="E39" i="12"/>
  <c r="E36" i="13"/>
  <c r="E38" i="6"/>
  <c r="E24" i="7"/>
  <c r="E33" i="8"/>
  <c r="E17" i="11"/>
  <c r="E30" i="4"/>
  <c r="E26" i="5"/>
  <c r="E30" i="9"/>
  <c r="E21" i="11"/>
  <c r="E22" i="3"/>
  <c r="E12" i="3"/>
  <c r="E37" i="3"/>
  <c r="E39" i="3"/>
  <c r="E17" i="3"/>
  <c r="E31" i="4"/>
  <c r="E37" i="7"/>
  <c r="E28" i="5"/>
  <c r="E20" i="10"/>
  <c r="E11" i="12"/>
  <c r="E19" i="4"/>
  <c r="E11" i="5"/>
  <c r="E28" i="11"/>
  <c r="E35" i="7"/>
  <c r="E30" i="11"/>
  <c r="E24" i="4"/>
  <c r="E11" i="6"/>
  <c r="E27" i="5"/>
  <c r="E27" i="9"/>
  <c r="E31" i="11"/>
  <c r="E38" i="4"/>
  <c r="E12" i="5"/>
  <c r="E14" i="13"/>
  <c r="E20" i="5"/>
  <c r="E34" i="12"/>
  <c r="E34" i="3"/>
  <c r="E21" i="3"/>
  <c r="E29" i="6"/>
  <c r="E36" i="7"/>
  <c r="E14" i="5"/>
  <c r="E18" i="9"/>
  <c r="E24" i="11"/>
  <c r="E22" i="13"/>
  <c r="E24" i="5"/>
  <c r="E19" i="11"/>
  <c r="E35" i="4"/>
  <c r="E36" i="9"/>
  <c r="E17" i="13"/>
  <c r="E40" i="6"/>
  <c r="E32" i="8"/>
  <c r="E13" i="9"/>
  <c r="E15" i="11"/>
  <c r="E37" i="4"/>
  <c r="E20" i="6"/>
  <c r="E17" i="10"/>
  <c r="E19" i="7"/>
  <c r="E35" i="10"/>
  <c r="E29" i="3"/>
  <c r="E24" i="3"/>
  <c r="E27" i="3"/>
  <c r="Q20" i="14"/>
  <c r="Q23" i="14"/>
  <c r="Q16" i="14"/>
  <c r="Q18" i="14"/>
  <c r="Q14" i="14"/>
  <c r="Q7" i="14"/>
  <c r="Q22" i="14"/>
  <c r="Q6" i="14"/>
  <c r="Q9" i="14"/>
  <c r="Q10" i="14"/>
  <c r="Q17" i="14"/>
  <c r="Q11" i="14"/>
  <c r="Q21" i="14"/>
  <c r="Q19" i="14"/>
  <c r="Q25" i="14"/>
  <c r="Q15" i="14"/>
  <c r="Q4" i="14"/>
  <c r="P3" i="14"/>
  <c r="Q2" i="14"/>
  <c r="Q13" i="14"/>
  <c r="Q24" i="14"/>
  <c r="Y5" i="2" l="1"/>
  <c r="Y6" i="2"/>
  <c r="Y7" i="2"/>
  <c r="Y4" i="2"/>
  <c r="Y3" i="2"/>
  <c r="W17" i="2"/>
  <c r="AZ3" i="1"/>
  <c r="D8" i="1" s="1"/>
  <c r="Q10" i="2" s="1"/>
  <c r="W8" i="2"/>
  <c r="X17" i="2"/>
  <c r="L8" i="2"/>
  <c r="X8" i="2"/>
  <c r="O1" i="14"/>
  <c r="Q3" i="14"/>
  <c r="P11" i="2" l="1"/>
  <c r="Y14" i="2"/>
  <c r="Y16" i="2"/>
  <c r="Y12" i="2"/>
  <c r="Y15" i="2"/>
  <c r="Y13" i="2"/>
  <c r="F41" i="2"/>
  <c r="F21" i="2"/>
  <c r="F23" i="2"/>
  <c r="F36" i="2"/>
  <c r="F28" i="2"/>
  <c r="F20" i="2"/>
  <c r="P20" i="2" s="1"/>
  <c r="F37" i="2"/>
  <c r="F13" i="2"/>
  <c r="P13" i="2" s="1"/>
  <c r="F19" i="2"/>
  <c r="P19" i="2" s="1"/>
  <c r="F30" i="2"/>
  <c r="F22" i="2"/>
  <c r="F14" i="2"/>
  <c r="P14" i="2" s="1"/>
  <c r="M14" i="2" s="1"/>
  <c r="I14" i="2" s="1"/>
  <c r="F33" i="2"/>
  <c r="F35" i="2"/>
  <c r="F15" i="2"/>
  <c r="F40" i="2"/>
  <c r="F16" i="2"/>
  <c r="P16" i="2" s="1"/>
  <c r="F29" i="2"/>
  <c r="F27" i="2"/>
  <c r="F12" i="2"/>
  <c r="P12" i="2" s="1"/>
  <c r="F34" i="2"/>
  <c r="F26" i="2"/>
  <c r="P26" i="2" s="1"/>
  <c r="M11" i="2"/>
  <c r="I11" i="2"/>
  <c r="P38" i="2"/>
  <c r="P32" i="2"/>
  <c r="P18" i="2"/>
  <c r="P31" i="2"/>
  <c r="P39" i="2"/>
  <c r="P17" i="2"/>
  <c r="P25" i="2"/>
  <c r="P24" i="2"/>
  <c r="P34" i="2"/>
  <c r="P30" i="2"/>
  <c r="R17" i="2"/>
  <c r="R18" i="2"/>
  <c r="R11" i="2"/>
  <c r="R38" i="2"/>
  <c r="R24" i="2"/>
  <c r="R32" i="2"/>
  <c r="R25" i="2"/>
  <c r="R31" i="2"/>
  <c r="R39" i="2"/>
  <c r="Q11" i="2"/>
  <c r="P15" i="2"/>
  <c r="P22" i="2"/>
  <c r="P23" i="2"/>
  <c r="I34" i="2" l="1"/>
  <c r="M34" i="2"/>
  <c r="M20" i="2"/>
  <c r="I20" i="2"/>
  <c r="I30" i="2"/>
  <c r="M30" i="2"/>
  <c r="I17" i="2"/>
  <c r="M17" i="2"/>
  <c r="I32" i="2"/>
  <c r="M32" i="2"/>
  <c r="I22" i="2"/>
  <c r="M22" i="2"/>
  <c r="I39" i="2"/>
  <c r="M39" i="2"/>
  <c r="I38" i="2"/>
  <c r="M38" i="2"/>
  <c r="M15" i="2"/>
  <c r="I15" i="2"/>
  <c r="M12" i="2"/>
  <c r="I12" i="2"/>
  <c r="M24" i="2"/>
  <c r="I24" i="2"/>
  <c r="M31" i="2"/>
  <c r="I31" i="2"/>
  <c r="M23" i="2"/>
  <c r="I23" i="2"/>
  <c r="M19" i="2"/>
  <c r="I19" i="2"/>
  <c r="M16" i="2"/>
  <c r="I16" i="2"/>
  <c r="M13" i="2"/>
  <c r="I13" i="2"/>
  <c r="I26" i="2"/>
  <c r="M26" i="2"/>
  <c r="I25" i="2"/>
  <c r="M25" i="2"/>
  <c r="M18" i="2"/>
  <c r="I18" i="2"/>
  <c r="P33" i="2"/>
  <c r="P40" i="2"/>
  <c r="R28" i="2"/>
  <c r="R21" i="2"/>
  <c r="R30" i="2"/>
  <c r="R23" i="2"/>
  <c r="R20" i="2"/>
  <c r="R19" i="2"/>
  <c r="R34" i="2"/>
  <c r="R15" i="2"/>
  <c r="R16" i="2"/>
  <c r="R13" i="2"/>
  <c r="R36" i="2"/>
  <c r="R14" i="2"/>
  <c r="R22" i="2"/>
  <c r="R26" i="2"/>
  <c r="R12" i="2"/>
  <c r="Q12" i="2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P29" i="2"/>
  <c r="P37" i="2"/>
  <c r="P41" i="2"/>
  <c r="P27" i="2"/>
  <c r="I37" i="2" l="1"/>
  <c r="M37" i="2"/>
  <c r="R40" i="2"/>
  <c r="M27" i="2"/>
  <c r="I27" i="2"/>
  <c r="R33" i="2"/>
  <c r="M40" i="2"/>
  <c r="I40" i="2"/>
  <c r="I29" i="2"/>
  <c r="M29" i="2"/>
  <c r="I33" i="2"/>
  <c r="M33" i="2"/>
  <c r="I41" i="2"/>
  <c r="M41" i="2"/>
  <c r="P21" i="2"/>
  <c r="M21" i="2" s="1"/>
  <c r="I21" i="2" s="1"/>
  <c r="R35" i="2"/>
  <c r="R27" i="2"/>
  <c r="R29" i="2"/>
  <c r="R37" i="2"/>
  <c r="R41" i="2"/>
  <c r="Q27" i="2"/>
  <c r="Q28" i="2" s="1"/>
  <c r="P28" i="2" s="1"/>
  <c r="R43" i="2" l="1"/>
  <c r="Q43" i="2" s="1"/>
  <c r="M28" i="2"/>
  <c r="I28" i="2"/>
  <c r="R42" i="2"/>
  <c r="Q29" i="2"/>
  <c r="Q30" i="2" s="1"/>
  <c r="Q31" i="2" s="1"/>
  <c r="Q32" i="2" s="1"/>
  <c r="Q33" i="2" s="1"/>
  <c r="Q34" i="2" s="1"/>
  <c r="Q35" i="2" s="1"/>
  <c r="P35" i="2" s="1"/>
  <c r="M35" i="2" l="1"/>
  <c r="O35" i="2" s="1"/>
  <c r="J35" i="2" s="1"/>
  <c r="I35" i="2"/>
  <c r="Q36" i="2"/>
  <c r="O11" i="2"/>
  <c r="J11" i="2" s="1"/>
  <c r="Q37" i="2" l="1"/>
  <c r="Q38" i="2" s="1"/>
  <c r="Q39" i="2" s="1"/>
  <c r="Q40" i="2" s="1"/>
  <c r="Q41" i="2" s="1"/>
  <c r="P36" i="2"/>
  <c r="O12" i="2"/>
  <c r="J12" i="2" s="1"/>
  <c r="M36" i="2" l="1"/>
  <c r="I36" i="2"/>
  <c r="O13" i="2"/>
  <c r="J13" i="2" s="1"/>
  <c r="O14" i="2" l="1"/>
  <c r="J14" i="2" s="1"/>
  <c r="O15" i="2" l="1"/>
  <c r="J15" i="2" s="1"/>
  <c r="O16" i="2" l="1"/>
  <c r="J16" i="2" s="1"/>
  <c r="O17" i="2" l="1"/>
  <c r="J17" i="2" s="1"/>
  <c r="O18" i="2" l="1"/>
  <c r="J18" i="2" s="1"/>
  <c r="O19" i="2" l="1"/>
  <c r="J19" i="2" s="1"/>
  <c r="O20" i="2" l="1"/>
  <c r="J20" i="2" s="1"/>
  <c r="O21" i="2" l="1"/>
  <c r="J21" i="2" s="1"/>
  <c r="O22" i="2" l="1"/>
  <c r="J22" i="2" s="1"/>
  <c r="O23" i="2" l="1"/>
  <c r="J23" i="2" s="1"/>
  <c r="O24" i="2" l="1"/>
  <c r="J24" i="2" s="1"/>
  <c r="O25" i="2"/>
  <c r="J25" i="2" s="1"/>
  <c r="O26" i="2" l="1"/>
  <c r="J26" i="2" s="1"/>
  <c r="O27" i="2" l="1"/>
  <c r="J27" i="2" s="1"/>
  <c r="O28" i="2" l="1"/>
  <c r="J28" i="2" s="1"/>
  <c r="O29" i="2" l="1"/>
  <c r="J29" i="2" s="1"/>
  <c r="O30" i="2" l="1"/>
  <c r="J30" i="2" s="1"/>
  <c r="O31" i="2" l="1"/>
  <c r="J31" i="2" s="1"/>
  <c r="O32" i="2" l="1"/>
  <c r="J32" i="2" s="1"/>
  <c r="O33" i="2" l="1"/>
  <c r="J33" i="2" s="1"/>
  <c r="O34" i="2" l="1"/>
  <c r="J34" i="2" s="1"/>
  <c r="O36" i="2" l="1"/>
  <c r="J36" i="2" s="1"/>
  <c r="Q42" i="2" l="1"/>
  <c r="Q44" i="2" s="1"/>
  <c r="P42" i="2"/>
  <c r="I46" i="2" s="1"/>
  <c r="J46" i="2" s="1"/>
  <c r="O37" i="2"/>
  <c r="J37" i="2" s="1"/>
  <c r="B19" i="1" l="1"/>
  <c r="E19" i="1"/>
  <c r="Q10" i="3"/>
  <c r="I7" i="2"/>
  <c r="O38" i="2"/>
  <c r="J38" i="2" s="1"/>
  <c r="O39" i="2" l="1"/>
  <c r="J39" i="2" s="1"/>
  <c r="O40" i="2" l="1"/>
  <c r="J40" i="2" s="1"/>
  <c r="O41" i="2" l="1"/>
  <c r="J41" i="2" s="1"/>
  <c r="I44" i="2" l="1"/>
  <c r="M42" i="2"/>
  <c r="L43" i="2" s="1"/>
  <c r="J44" i="2" l="1"/>
  <c r="I48" i="2"/>
  <c r="K4" i="3" s="1"/>
  <c r="C19" i="1"/>
  <c r="D19" i="1" s="1"/>
  <c r="J48" i="2" l="1"/>
  <c r="I45" i="3" l="1"/>
  <c r="J45" i="3" s="1"/>
  <c r="X6" i="3"/>
  <c r="X5" i="3"/>
  <c r="X7" i="3"/>
  <c r="BB4" i="1"/>
  <c r="BN4" i="1" s="1"/>
  <c r="BM4" i="1" s="1"/>
  <c r="Y4" i="3" l="1"/>
  <c r="Y5" i="3"/>
  <c r="Y7" i="3"/>
  <c r="Y3" i="3"/>
  <c r="Y6" i="3"/>
  <c r="W8" i="3"/>
  <c r="X3" i="4"/>
  <c r="X8" i="3"/>
  <c r="R40" i="3"/>
  <c r="R41" i="3"/>
  <c r="F13" i="3" l="1"/>
  <c r="F20" i="3"/>
  <c r="P20" i="3" s="1"/>
  <c r="F34" i="3"/>
  <c r="P34" i="3" s="1"/>
  <c r="F27" i="3"/>
  <c r="P27" i="3" s="1"/>
  <c r="M27" i="3" s="1"/>
  <c r="F18" i="3"/>
  <c r="F11" i="3"/>
  <c r="F25" i="3"/>
  <c r="P25" i="3" s="1"/>
  <c r="F32" i="3"/>
  <c r="P32" i="3" s="1"/>
  <c r="F16" i="3"/>
  <c r="F23" i="3"/>
  <c r="P23" i="3" s="1"/>
  <c r="F37" i="3"/>
  <c r="P37" i="3" s="1"/>
  <c r="F30" i="3"/>
  <c r="P30" i="3" s="1"/>
  <c r="F12" i="3"/>
  <c r="P12" i="3" s="1"/>
  <c r="F19" i="3"/>
  <c r="P19" i="3" s="1"/>
  <c r="M19" i="3" s="1"/>
  <c r="F26" i="3"/>
  <c r="R26" i="3" s="1"/>
  <c r="F33" i="3"/>
  <c r="R33" i="3" s="1"/>
  <c r="F24" i="3"/>
  <c r="F17" i="3"/>
  <c r="F31" i="3"/>
  <c r="F38" i="3"/>
  <c r="P38" i="3" s="1"/>
  <c r="I19" i="3"/>
  <c r="I12" i="3"/>
  <c r="M12" i="3"/>
  <c r="P13" i="3"/>
  <c r="P16" i="3"/>
  <c r="P24" i="3"/>
  <c r="P17" i="3"/>
  <c r="P18" i="3"/>
  <c r="P11" i="3"/>
  <c r="R19" i="3"/>
  <c r="R29" i="3"/>
  <c r="R15" i="3"/>
  <c r="R36" i="3"/>
  <c r="R22" i="3"/>
  <c r="R21" i="3"/>
  <c r="R14" i="3"/>
  <c r="R35" i="3"/>
  <c r="R39" i="3"/>
  <c r="R28" i="3"/>
  <c r="X4" i="4"/>
  <c r="I27" i="3" l="1"/>
  <c r="R27" i="3"/>
  <c r="R13" i="3"/>
  <c r="M18" i="3"/>
  <c r="I18" i="3"/>
  <c r="M30" i="3"/>
  <c r="I30" i="3"/>
  <c r="I32" i="3"/>
  <c r="M32" i="3"/>
  <c r="I16" i="3"/>
  <c r="M16" i="3"/>
  <c r="I17" i="3"/>
  <c r="M17" i="3"/>
  <c r="M23" i="3"/>
  <c r="I23" i="3"/>
  <c r="I20" i="3"/>
  <c r="M20" i="3"/>
  <c r="M38" i="3"/>
  <c r="I38" i="3"/>
  <c r="I25" i="3"/>
  <c r="M25" i="3"/>
  <c r="I24" i="3"/>
  <c r="M24" i="3"/>
  <c r="I13" i="3"/>
  <c r="M13" i="3"/>
  <c r="M11" i="3"/>
  <c r="I11" i="3"/>
  <c r="M37" i="3"/>
  <c r="I37" i="3"/>
  <c r="M34" i="3"/>
  <c r="I34" i="3"/>
  <c r="R34" i="3"/>
  <c r="R24" i="3"/>
  <c r="R38" i="3"/>
  <c r="R32" i="3"/>
  <c r="R16" i="3"/>
  <c r="R25" i="3"/>
  <c r="R17" i="3"/>
  <c r="R23" i="3"/>
  <c r="R20" i="3"/>
  <c r="R18" i="3"/>
  <c r="R30" i="3"/>
  <c r="R11" i="3"/>
  <c r="Q11" i="3"/>
  <c r="Q12" i="3" s="1"/>
  <c r="Q13" i="3" s="1"/>
  <c r="Q14" i="3" s="1"/>
  <c r="Q15" i="3" s="1"/>
  <c r="Q16" i="3" s="1"/>
  <c r="Q17" i="3" s="1"/>
  <c r="Q18" i="3" s="1"/>
  <c r="Q19" i="3" s="1"/>
  <c r="Q20" i="3" s="1"/>
  <c r="Q21" i="3" s="1"/>
  <c r="Q22" i="3" s="1"/>
  <c r="Q23" i="3" s="1"/>
  <c r="Q24" i="3" s="1"/>
  <c r="Q25" i="3" s="1"/>
  <c r="Q26" i="3" s="1"/>
  <c r="P26" i="3" s="1"/>
  <c r="R31" i="3"/>
  <c r="R37" i="3"/>
  <c r="R12" i="3"/>
  <c r="I44" i="3" l="1"/>
  <c r="J44" i="3" s="1"/>
  <c r="M26" i="3"/>
  <c r="I26" i="3"/>
  <c r="Q27" i="3"/>
  <c r="Q28" i="3" s="1"/>
  <c r="Q29" i="3" s="1"/>
  <c r="Q30" i="3" s="1"/>
  <c r="Q31" i="3" s="1"/>
  <c r="R42" i="3"/>
  <c r="O11" i="3"/>
  <c r="J11" i="3" s="1"/>
  <c r="R43" i="3"/>
  <c r="Q43" i="3" s="1"/>
  <c r="Q32" i="3" l="1"/>
  <c r="Q33" i="3" s="1"/>
  <c r="P31" i="3"/>
  <c r="O12" i="3"/>
  <c r="J12" i="3" s="1"/>
  <c r="X6" i="5"/>
  <c r="X4" i="5"/>
  <c r="X5" i="5"/>
  <c r="X7" i="5"/>
  <c r="M31" i="3" l="1"/>
  <c r="I31" i="3"/>
  <c r="Q34" i="3"/>
  <c r="Q35" i="3" s="1"/>
  <c r="Q36" i="3" s="1"/>
  <c r="Q37" i="3" s="1"/>
  <c r="Q38" i="3" s="1"/>
  <c r="Q39" i="3" s="1"/>
  <c r="Q40" i="3" s="1"/>
  <c r="Q41" i="3" s="1"/>
  <c r="P33" i="3"/>
  <c r="BB6" i="1"/>
  <c r="BN6" i="1" s="1"/>
  <c r="X3" i="5"/>
  <c r="Y3" i="5" s="1"/>
  <c r="F34" i="5" s="1"/>
  <c r="O13" i="3"/>
  <c r="J13" i="3" s="1"/>
  <c r="F20" i="5" l="1"/>
  <c r="F13" i="5"/>
  <c r="P13" i="5" s="1"/>
  <c r="Y5" i="5"/>
  <c r="Y6" i="5"/>
  <c r="Y4" i="5"/>
  <c r="Y7" i="5"/>
  <c r="M33" i="3"/>
  <c r="I33" i="3"/>
  <c r="P34" i="5"/>
  <c r="P20" i="5"/>
  <c r="R24" i="5"/>
  <c r="W8" i="5"/>
  <c r="X12" i="7"/>
  <c r="X13" i="7"/>
  <c r="X15" i="7"/>
  <c r="X16" i="7"/>
  <c r="X14" i="7"/>
  <c r="X7" i="6"/>
  <c r="X6" i="6"/>
  <c r="X4" i="6"/>
  <c r="X5" i="6"/>
  <c r="R12" i="5"/>
  <c r="R41" i="5"/>
  <c r="R19" i="5"/>
  <c r="R40" i="5"/>
  <c r="R33" i="5"/>
  <c r="R27" i="5"/>
  <c r="R26" i="5"/>
  <c r="X8" i="5"/>
  <c r="O14" i="3"/>
  <c r="J14" i="3" s="1"/>
  <c r="F29" i="5" l="1"/>
  <c r="F36" i="5"/>
  <c r="P36" i="5" s="1"/>
  <c r="F17" i="5"/>
  <c r="P17" i="5" s="1"/>
  <c r="I17" i="5" s="1"/>
  <c r="F31" i="5"/>
  <c r="P31" i="5" s="1"/>
  <c r="F38" i="5"/>
  <c r="F37" i="5"/>
  <c r="P37" i="5" s="1"/>
  <c r="F30" i="5"/>
  <c r="P30" i="5" s="1"/>
  <c r="I30" i="5" s="1"/>
  <c r="F28" i="5"/>
  <c r="P28" i="5" s="1"/>
  <c r="F35" i="5"/>
  <c r="F15" i="5"/>
  <c r="P15" i="5" s="1"/>
  <c r="F22" i="5"/>
  <c r="P22" i="5" s="1"/>
  <c r="F23" i="5"/>
  <c r="F16" i="5"/>
  <c r="P16" i="5" s="1"/>
  <c r="F21" i="5"/>
  <c r="P21" i="5" s="1"/>
  <c r="F14" i="5"/>
  <c r="P14" i="5" s="1"/>
  <c r="Y13" i="7"/>
  <c r="Y15" i="7"/>
  <c r="Y14" i="7"/>
  <c r="Y12" i="7"/>
  <c r="Y16" i="7"/>
  <c r="M20" i="5"/>
  <c r="I20" i="5"/>
  <c r="I34" i="5"/>
  <c r="M34" i="5"/>
  <c r="I13" i="5"/>
  <c r="M13" i="5"/>
  <c r="P38" i="5"/>
  <c r="R30" i="5"/>
  <c r="P29" i="5"/>
  <c r="P35" i="5"/>
  <c r="R17" i="5"/>
  <c r="R20" i="5"/>
  <c r="R13" i="5"/>
  <c r="R34" i="5"/>
  <c r="R18" i="5"/>
  <c r="R25" i="5"/>
  <c r="R39" i="5"/>
  <c r="R11" i="5"/>
  <c r="R32" i="5"/>
  <c r="X17" i="7"/>
  <c r="W17" i="7"/>
  <c r="BB7" i="1"/>
  <c r="X3" i="6"/>
  <c r="Y3" i="6" s="1"/>
  <c r="O15" i="3"/>
  <c r="J15" i="3" s="1"/>
  <c r="M17" i="5" l="1"/>
  <c r="M30" i="5"/>
  <c r="F25" i="6"/>
  <c r="P25" i="6" s="1"/>
  <c r="F18" i="6"/>
  <c r="P18" i="6" s="1"/>
  <c r="F32" i="6"/>
  <c r="F39" i="6"/>
  <c r="P39" i="6" s="1"/>
  <c r="Y6" i="6"/>
  <c r="Y5" i="6"/>
  <c r="Y4" i="6"/>
  <c r="Y7" i="6"/>
  <c r="M15" i="5"/>
  <c r="I15" i="5"/>
  <c r="M36" i="5"/>
  <c r="I36" i="5"/>
  <c r="I37" i="5"/>
  <c r="M37" i="5"/>
  <c r="I14" i="5"/>
  <c r="M14" i="5"/>
  <c r="I22" i="5"/>
  <c r="M22" i="5"/>
  <c r="I38" i="5"/>
  <c r="M38" i="5"/>
  <c r="I21" i="5"/>
  <c r="M21" i="5"/>
  <c r="M28" i="5"/>
  <c r="I28" i="5"/>
  <c r="M31" i="5"/>
  <c r="I31" i="5"/>
  <c r="M35" i="5"/>
  <c r="I35" i="5"/>
  <c r="I29" i="5"/>
  <c r="M29" i="5"/>
  <c r="M16" i="5"/>
  <c r="I16" i="5"/>
  <c r="R37" i="5"/>
  <c r="R23" i="5"/>
  <c r="P23" i="5"/>
  <c r="R38" i="5"/>
  <c r="R16" i="5"/>
  <c r="R31" i="5"/>
  <c r="R14" i="5"/>
  <c r="R22" i="5"/>
  <c r="R35" i="5"/>
  <c r="R29" i="5"/>
  <c r="R21" i="5"/>
  <c r="R15" i="5"/>
  <c r="R28" i="5"/>
  <c r="R36" i="5"/>
  <c r="P32" i="6"/>
  <c r="W8" i="6"/>
  <c r="X8" i="6"/>
  <c r="O16" i="3"/>
  <c r="J16" i="3" s="1"/>
  <c r="M18" i="6" l="1"/>
  <c r="I18" i="6"/>
  <c r="F13" i="6"/>
  <c r="P13" i="6" s="1"/>
  <c r="F27" i="6"/>
  <c r="P27" i="6" s="1"/>
  <c r="F41" i="6"/>
  <c r="F20" i="6"/>
  <c r="F34" i="6"/>
  <c r="P34" i="6" s="1"/>
  <c r="M39" i="6"/>
  <c r="I39" i="6"/>
  <c r="F29" i="6"/>
  <c r="F36" i="6"/>
  <c r="P36" i="6" s="1"/>
  <c r="F22" i="6"/>
  <c r="P22" i="6" s="1"/>
  <c r="F15" i="6"/>
  <c r="M25" i="6"/>
  <c r="I25" i="6"/>
  <c r="F26" i="6"/>
  <c r="P26" i="6" s="1"/>
  <c r="F33" i="6"/>
  <c r="F12" i="6"/>
  <c r="P12" i="6" s="1"/>
  <c r="F40" i="6"/>
  <c r="P40" i="6" s="1"/>
  <c r="F19" i="6"/>
  <c r="P19" i="6" s="1"/>
  <c r="M32" i="6"/>
  <c r="I32" i="6"/>
  <c r="F28" i="6"/>
  <c r="P28" i="6" s="1"/>
  <c r="F21" i="6"/>
  <c r="P21" i="6" s="1"/>
  <c r="F14" i="6"/>
  <c r="M23" i="5"/>
  <c r="I23" i="5"/>
  <c r="R43" i="5"/>
  <c r="Q43" i="5" s="1"/>
  <c r="R42" i="5"/>
  <c r="P41" i="6"/>
  <c r="P20" i="6"/>
  <c r="P33" i="6"/>
  <c r="P14" i="6"/>
  <c r="P29" i="6"/>
  <c r="P15" i="6"/>
  <c r="O17" i="3"/>
  <c r="J17" i="3" s="1"/>
  <c r="M28" i="6" l="1"/>
  <c r="I28" i="6"/>
  <c r="M40" i="6"/>
  <c r="I40" i="6"/>
  <c r="M36" i="6"/>
  <c r="I36" i="6"/>
  <c r="M13" i="6"/>
  <c r="I13" i="6"/>
  <c r="M26" i="6"/>
  <c r="I26" i="6"/>
  <c r="M22" i="6"/>
  <c r="I22" i="6"/>
  <c r="M34" i="6"/>
  <c r="I34" i="6"/>
  <c r="M19" i="6"/>
  <c r="I19" i="6"/>
  <c r="M29" i="6"/>
  <c r="I29" i="6"/>
  <c r="M41" i="6"/>
  <c r="I41" i="6"/>
  <c r="M12" i="6"/>
  <c r="I12" i="6"/>
  <c r="M15" i="6"/>
  <c r="I15" i="6"/>
  <c r="M21" i="6"/>
  <c r="I21" i="6"/>
  <c r="M27" i="6"/>
  <c r="I27" i="6"/>
  <c r="M33" i="6"/>
  <c r="I33" i="6"/>
  <c r="M14" i="6"/>
  <c r="I14" i="6"/>
  <c r="M20" i="6"/>
  <c r="I20" i="6"/>
  <c r="O18" i="3"/>
  <c r="J18" i="3" s="1"/>
  <c r="O19" i="3" l="1"/>
  <c r="J19" i="3" s="1"/>
  <c r="O20" i="3" l="1"/>
  <c r="J20" i="3" s="1"/>
  <c r="O21" i="3" l="1"/>
  <c r="J21" i="3" s="1"/>
  <c r="O22" i="3" l="1"/>
  <c r="J22" i="3" s="1"/>
  <c r="O23" i="3" l="1"/>
  <c r="J23" i="3" s="1"/>
  <c r="O24" i="3" l="1"/>
  <c r="J24" i="3" s="1"/>
  <c r="O25" i="3" l="1"/>
  <c r="J25" i="3" s="1"/>
  <c r="O26" i="3" l="1"/>
  <c r="J26" i="3" s="1"/>
  <c r="O27" i="3" l="1"/>
  <c r="J27" i="3" s="1"/>
  <c r="O28" i="3" l="1"/>
  <c r="J28" i="3" s="1"/>
  <c r="O29" i="3" l="1"/>
  <c r="J29" i="3" s="1"/>
  <c r="O30" i="3" l="1"/>
  <c r="J30" i="3" s="1"/>
  <c r="O31" i="3" l="1"/>
  <c r="J31" i="3" s="1"/>
  <c r="O32" i="3" l="1"/>
  <c r="J32" i="3" s="1"/>
  <c r="O33" i="3" l="1"/>
  <c r="J33" i="3" s="1"/>
  <c r="O34" i="3" l="1"/>
  <c r="J34" i="3" s="1"/>
  <c r="O35" i="3" l="1"/>
  <c r="J35" i="3" s="1"/>
  <c r="O36" i="3" l="1"/>
  <c r="J36" i="3" s="1"/>
  <c r="O37" i="3" l="1"/>
  <c r="J37" i="3" s="1"/>
  <c r="O38" i="3" l="1"/>
  <c r="J38" i="3" s="1"/>
  <c r="O39" i="3" l="1"/>
  <c r="J39" i="3" s="1"/>
  <c r="O40" i="3" l="1"/>
  <c r="J40" i="3" s="1"/>
  <c r="Q42" i="3"/>
  <c r="I7" i="3" l="1"/>
  <c r="Q44" i="3"/>
  <c r="E20" i="1" s="1"/>
  <c r="M42" i="3"/>
  <c r="L43" i="3" s="1"/>
  <c r="P42" i="3"/>
  <c r="I46" i="3" s="1"/>
  <c r="Q10" i="4"/>
  <c r="I48" i="3" l="1"/>
  <c r="K4" i="4" s="1"/>
  <c r="J46" i="3"/>
  <c r="O41" i="3"/>
  <c r="J41" i="3" s="1"/>
  <c r="B20" i="1"/>
  <c r="J48" i="3" l="1"/>
  <c r="C20" i="1"/>
  <c r="D20" i="1" s="1"/>
  <c r="I45" i="4" l="1"/>
  <c r="J45" i="4" s="1"/>
  <c r="X12" i="6" l="1"/>
  <c r="X13" i="6"/>
  <c r="X14" i="6"/>
  <c r="X15" i="6"/>
  <c r="BN7" i="1"/>
  <c r="X5" i="7"/>
  <c r="X16" i="6"/>
  <c r="Y15" i="6" l="1"/>
  <c r="Y13" i="6"/>
  <c r="Y16" i="6"/>
  <c r="Y14" i="6"/>
  <c r="Y12" i="6"/>
  <c r="R31" i="6"/>
  <c r="R19" i="6"/>
  <c r="R23" i="6"/>
  <c r="R14" i="6"/>
  <c r="R17" i="6"/>
  <c r="R16" i="6"/>
  <c r="R20" i="6"/>
  <c r="R15" i="6"/>
  <c r="R38" i="6"/>
  <c r="R13" i="6"/>
  <c r="X17" i="6"/>
  <c r="R21" i="6"/>
  <c r="R22" i="6"/>
  <c r="W17" i="6"/>
  <c r="R24" i="6"/>
  <c r="X6" i="7"/>
  <c r="X7" i="7"/>
  <c r="R11" i="6"/>
  <c r="R18" i="6"/>
  <c r="R27" i="6" l="1"/>
  <c r="R34" i="6"/>
  <c r="R29" i="6"/>
  <c r="R26" i="6"/>
  <c r="R40" i="6"/>
  <c r="R33" i="6"/>
  <c r="R25" i="6"/>
  <c r="R32" i="6"/>
  <c r="R39" i="6"/>
  <c r="R37" i="6"/>
  <c r="R30" i="6"/>
  <c r="R36" i="6"/>
  <c r="R41" i="6"/>
  <c r="R28" i="6"/>
  <c r="R35" i="6"/>
  <c r="R12" i="6"/>
  <c r="R43" i="6" l="1"/>
  <c r="Q43" i="6" s="1"/>
  <c r="R42" i="6"/>
  <c r="X5" i="4" l="1"/>
  <c r="X6" i="4"/>
  <c r="BA5" i="1"/>
  <c r="BA6" i="1" s="1"/>
  <c r="BA7" i="1" s="1"/>
  <c r="BB5" i="1"/>
  <c r="BN5" i="1" s="1"/>
  <c r="X7" i="4"/>
  <c r="Y3" i="4" l="1"/>
  <c r="Y4" i="4"/>
  <c r="Y5" i="4"/>
  <c r="Y7" i="4"/>
  <c r="Y6" i="4"/>
  <c r="W8" i="4"/>
  <c r="R35" i="4"/>
  <c r="BM5" i="1"/>
  <c r="BM6" i="1" s="1"/>
  <c r="BM7" i="1" s="1"/>
  <c r="R36" i="4"/>
  <c r="R29" i="4"/>
  <c r="R22" i="4"/>
  <c r="X8" i="4"/>
  <c r="R15" i="4"/>
  <c r="F18" i="4" l="1"/>
  <c r="P18" i="4" s="1"/>
  <c r="F32" i="4"/>
  <c r="P32" i="4" s="1"/>
  <c r="F25" i="4"/>
  <c r="P25" i="4" s="1"/>
  <c r="F39" i="4"/>
  <c r="P39" i="4" s="1"/>
  <c r="F11" i="4"/>
  <c r="P11" i="4" s="1"/>
  <c r="F24" i="4"/>
  <c r="P24" i="4" s="1"/>
  <c r="F31" i="4"/>
  <c r="P31" i="4" s="1"/>
  <c r="F17" i="4"/>
  <c r="P17" i="4" s="1"/>
  <c r="F38" i="4"/>
  <c r="F20" i="4"/>
  <c r="P20" i="4" s="1"/>
  <c r="F41" i="4"/>
  <c r="P41" i="4" s="1"/>
  <c r="F13" i="4"/>
  <c r="P13" i="4" s="1"/>
  <c r="F34" i="4"/>
  <c r="P34" i="4" s="1"/>
  <c r="F27" i="4"/>
  <c r="P27" i="4" s="1"/>
  <c r="F12" i="4"/>
  <c r="P12" i="4" s="1"/>
  <c r="F33" i="4"/>
  <c r="R33" i="4" s="1"/>
  <c r="F19" i="4"/>
  <c r="P19" i="4" s="1"/>
  <c r="F26" i="4"/>
  <c r="P26" i="4" s="1"/>
  <c r="M26" i="4" s="1"/>
  <c r="F40" i="4"/>
  <c r="P40" i="4" s="1"/>
  <c r="F16" i="4"/>
  <c r="P16" i="4" s="1"/>
  <c r="F37" i="4"/>
  <c r="P37" i="4" s="1"/>
  <c r="F30" i="4"/>
  <c r="P30" i="4" s="1"/>
  <c r="F23" i="4"/>
  <c r="P23" i="4" s="1"/>
  <c r="P38" i="4"/>
  <c r="R21" i="4"/>
  <c r="R14" i="4"/>
  <c r="R28" i="4"/>
  <c r="P33" i="4" l="1"/>
  <c r="M33" i="4" s="1"/>
  <c r="I33" i="4" s="1"/>
  <c r="R26" i="4"/>
  <c r="I26" i="4"/>
  <c r="M37" i="4"/>
  <c r="I37" i="4" s="1"/>
  <c r="M41" i="4"/>
  <c r="I41" i="4"/>
  <c r="M38" i="4"/>
  <c r="I38" i="4" s="1"/>
  <c r="M23" i="4"/>
  <c r="I23" i="4" s="1"/>
  <c r="M13" i="4"/>
  <c r="I13" i="4"/>
  <c r="M24" i="4"/>
  <c r="I24" i="4" s="1"/>
  <c r="M30" i="4"/>
  <c r="I30" i="4" s="1"/>
  <c r="M20" i="4"/>
  <c r="I20" i="4" s="1"/>
  <c r="M11" i="4"/>
  <c r="I11" i="4" s="1"/>
  <c r="M39" i="4"/>
  <c r="I39" i="4" s="1"/>
  <c r="M31" i="4"/>
  <c r="I31" i="4" s="1"/>
  <c r="M32" i="4"/>
  <c r="I32" i="4" s="1"/>
  <c r="M12" i="4"/>
  <c r="I12" i="4" s="1"/>
  <c r="M18" i="4"/>
  <c r="I18" i="4" s="1"/>
  <c r="M19" i="4"/>
  <c r="I19" i="4" s="1"/>
  <c r="M16" i="4"/>
  <c r="I16" i="4" s="1"/>
  <c r="M34" i="4"/>
  <c r="I34" i="4" s="1"/>
  <c r="M27" i="4"/>
  <c r="I27" i="4" s="1"/>
  <c r="M25" i="4"/>
  <c r="I25" i="4" s="1"/>
  <c r="M17" i="4"/>
  <c r="I17" i="4" s="1"/>
  <c r="M40" i="4"/>
  <c r="I40" i="4" s="1"/>
  <c r="R11" i="4"/>
  <c r="R31" i="4"/>
  <c r="R40" i="4"/>
  <c r="R12" i="4"/>
  <c r="R19" i="4"/>
  <c r="R20" i="4"/>
  <c r="R39" i="4"/>
  <c r="R24" i="4"/>
  <c r="R30" i="4"/>
  <c r="R16" i="4"/>
  <c r="R37" i="4"/>
  <c r="R41" i="4"/>
  <c r="R32" i="4"/>
  <c r="R38" i="4"/>
  <c r="R23" i="4"/>
  <c r="R13" i="4"/>
  <c r="R18" i="4"/>
  <c r="R34" i="4"/>
  <c r="R27" i="4"/>
  <c r="R25" i="4"/>
  <c r="R17" i="4"/>
  <c r="Q11" i="4"/>
  <c r="Q12" i="4" s="1"/>
  <c r="Q13" i="4" s="1"/>
  <c r="Q14" i="4" s="1"/>
  <c r="Q15" i="4" s="1"/>
  <c r="Q16" i="4" s="1"/>
  <c r="Q17" i="4" s="1"/>
  <c r="Q18" i="4" s="1"/>
  <c r="Q19" i="4" s="1"/>
  <c r="Q20" i="4" s="1"/>
  <c r="Q21" i="4" s="1"/>
  <c r="Q22" i="4" s="1"/>
  <c r="Q23" i="4" s="1"/>
  <c r="Q24" i="4" s="1"/>
  <c r="Q25" i="4" s="1"/>
  <c r="Q26" i="4" s="1"/>
  <c r="Q27" i="4" s="1"/>
  <c r="Q28" i="4" s="1"/>
  <c r="Q29" i="4" s="1"/>
  <c r="Q30" i="4" s="1"/>
  <c r="Q31" i="4" s="1"/>
  <c r="Q32" i="4" s="1"/>
  <c r="Q33" i="4" s="1"/>
  <c r="Q34" i="4" s="1"/>
  <c r="Q35" i="4" s="1"/>
  <c r="Q36" i="4" s="1"/>
  <c r="Q37" i="4" s="1"/>
  <c r="Q38" i="4" s="1"/>
  <c r="Q39" i="4" s="1"/>
  <c r="Q40" i="4" s="1"/>
  <c r="Q41" i="4" s="1"/>
  <c r="R43" i="4" l="1"/>
  <c r="Q43" i="4" s="1"/>
  <c r="R42" i="4"/>
  <c r="O12" i="4" l="1"/>
  <c r="J12" i="4" s="1"/>
  <c r="O11" i="4"/>
  <c r="J11" i="4" s="1"/>
  <c r="O13" i="4" l="1"/>
  <c r="J13" i="4" s="1"/>
  <c r="O14" i="4" l="1"/>
  <c r="J14" i="4" s="1"/>
  <c r="O15" i="4" l="1"/>
  <c r="J15" i="4" s="1"/>
  <c r="O16" i="4" l="1"/>
  <c r="J16" i="4" s="1"/>
  <c r="O17" i="4" l="1"/>
  <c r="J17" i="4" s="1"/>
  <c r="O18" i="4" l="1"/>
  <c r="J18" i="4" s="1"/>
  <c r="O19" i="4" l="1"/>
  <c r="J19" i="4" s="1"/>
  <c r="O20" i="4" l="1"/>
  <c r="J20" i="4" s="1"/>
  <c r="O21" i="4" l="1"/>
  <c r="J21" i="4" s="1"/>
  <c r="O22" i="4" l="1"/>
  <c r="J22" i="4" s="1"/>
  <c r="O23" i="4" l="1"/>
  <c r="J23" i="4" s="1"/>
  <c r="O24" i="4" l="1"/>
  <c r="J24" i="4" s="1"/>
  <c r="O25" i="4" l="1"/>
  <c r="J25" i="4" s="1"/>
  <c r="O26" i="4" l="1"/>
  <c r="J26" i="4" s="1"/>
  <c r="O27" i="4" l="1"/>
  <c r="J27" i="4" s="1"/>
  <c r="O28" i="4" l="1"/>
  <c r="J28" i="4" s="1"/>
  <c r="O29" i="4" l="1"/>
  <c r="J29" i="4" s="1"/>
  <c r="O30" i="4" l="1"/>
  <c r="J30" i="4" s="1"/>
  <c r="O31" i="4" l="1"/>
  <c r="J31" i="4" s="1"/>
  <c r="O32" i="4" l="1"/>
  <c r="J32" i="4" s="1"/>
  <c r="O33" i="4" l="1"/>
  <c r="J33" i="4" s="1"/>
  <c r="O34" i="4" l="1"/>
  <c r="J34" i="4" s="1"/>
  <c r="O35" i="4" l="1"/>
  <c r="J35" i="4" s="1"/>
  <c r="O36" i="4" l="1"/>
  <c r="J36" i="4" s="1"/>
  <c r="O37" i="4" l="1"/>
  <c r="J37" i="4" s="1"/>
  <c r="O38" i="4" l="1"/>
  <c r="J38" i="4" s="1"/>
  <c r="O39" i="4" l="1"/>
  <c r="J39" i="4" s="1"/>
  <c r="Q42" i="4" l="1"/>
  <c r="O40" i="4"/>
  <c r="J40" i="4" s="1"/>
  <c r="I7" i="4" l="1"/>
  <c r="Q44" i="4"/>
  <c r="E21" i="1" s="1"/>
  <c r="Q10" i="5"/>
  <c r="Q11" i="5" s="1"/>
  <c r="Q12" i="5" s="1"/>
  <c r="Q13" i="5" s="1"/>
  <c r="Q14" i="5" s="1"/>
  <c r="Q15" i="5" s="1"/>
  <c r="Q16" i="5" s="1"/>
  <c r="Q17" i="5" s="1"/>
  <c r="Q18" i="5" s="1"/>
  <c r="Q19" i="5" s="1"/>
  <c r="Q20" i="5" s="1"/>
  <c r="Q21" i="5" s="1"/>
  <c r="Q22" i="5" s="1"/>
  <c r="Q23" i="5" s="1"/>
  <c r="Q24" i="5" s="1"/>
  <c r="Q25" i="5" s="1"/>
  <c r="Q26" i="5" s="1"/>
  <c r="Q27" i="5" s="1"/>
  <c r="Q28" i="5" s="1"/>
  <c r="Q29" i="5" s="1"/>
  <c r="Q30" i="5" s="1"/>
  <c r="Q31" i="5" s="1"/>
  <c r="Q32" i="5" s="1"/>
  <c r="Q33" i="5" s="1"/>
  <c r="Q34" i="5" s="1"/>
  <c r="Q35" i="5" s="1"/>
  <c r="Q36" i="5" s="1"/>
  <c r="Q37" i="5" s="1"/>
  <c r="Q38" i="5" s="1"/>
  <c r="Q39" i="5" s="1"/>
  <c r="Q40" i="5" s="1"/>
  <c r="Q41" i="5" s="1"/>
  <c r="I44" i="4"/>
  <c r="J44" i="4" s="1"/>
  <c r="P42" i="4"/>
  <c r="I46" i="4" s="1"/>
  <c r="J46" i="4" s="1"/>
  <c r="O41" i="4" l="1"/>
  <c r="J41" i="4" s="1"/>
  <c r="M42" i="4"/>
  <c r="L43" i="4" s="1"/>
  <c r="B21" i="1"/>
  <c r="I48" i="4"/>
  <c r="K4" i="5" s="1"/>
  <c r="C21" i="1" l="1"/>
  <c r="D21" i="1" s="1"/>
  <c r="J48" i="4"/>
  <c r="I45" i="5" l="1"/>
  <c r="J45" i="5" s="1"/>
  <c r="O11" i="5"/>
  <c r="J11" i="5" s="1"/>
  <c r="O12" i="5"/>
  <c r="J12" i="5" s="1"/>
  <c r="O13" i="5" l="1"/>
  <c r="J13" i="5" s="1"/>
  <c r="O14" i="5" l="1"/>
  <c r="J14" i="5" s="1"/>
  <c r="O15" i="5"/>
  <c r="J15" i="5" s="1"/>
  <c r="O16" i="5" l="1"/>
  <c r="J16" i="5" s="1"/>
  <c r="O17" i="5"/>
  <c r="J17" i="5" s="1"/>
  <c r="O18" i="5" l="1"/>
  <c r="J18" i="5" s="1"/>
  <c r="O19" i="5"/>
  <c r="J19" i="5" s="1"/>
  <c r="O20" i="5" l="1"/>
  <c r="J20" i="5" s="1"/>
  <c r="O21" i="5" l="1"/>
  <c r="J21" i="5" s="1"/>
  <c r="O22" i="5" l="1"/>
  <c r="J22" i="5" s="1"/>
  <c r="O23" i="5" l="1"/>
  <c r="J23" i="5" s="1"/>
  <c r="O24" i="5" l="1"/>
  <c r="J24" i="5" s="1"/>
  <c r="O25" i="5" l="1"/>
  <c r="J25" i="5" s="1"/>
  <c r="O26" i="5" l="1"/>
  <c r="J26" i="5" s="1"/>
  <c r="O27" i="5" l="1"/>
  <c r="J27" i="5" s="1"/>
  <c r="O28" i="5" l="1"/>
  <c r="J28" i="5" s="1"/>
  <c r="O29" i="5" l="1"/>
  <c r="J29" i="5" s="1"/>
  <c r="O30" i="5" l="1"/>
  <c r="J30" i="5" s="1"/>
  <c r="O31" i="5" l="1"/>
  <c r="J31" i="5" s="1"/>
  <c r="O32" i="5" l="1"/>
  <c r="J32" i="5" s="1"/>
  <c r="O33" i="5" l="1"/>
  <c r="J33" i="5" s="1"/>
  <c r="O34" i="5" l="1"/>
  <c r="J34" i="5" s="1"/>
  <c r="O35" i="5" l="1"/>
  <c r="J35" i="5" s="1"/>
  <c r="O36" i="5" l="1"/>
  <c r="J36" i="5" s="1"/>
  <c r="O37" i="5" l="1"/>
  <c r="J37" i="5" s="1"/>
  <c r="O38" i="5" l="1"/>
  <c r="J38" i="5" s="1"/>
  <c r="O39" i="5" l="1"/>
  <c r="J39" i="5" s="1"/>
  <c r="Q42" i="5" l="1"/>
  <c r="O40" i="5"/>
  <c r="J40" i="5" s="1"/>
  <c r="I7" i="5" l="1"/>
  <c r="Q44" i="5"/>
  <c r="E22" i="1" s="1"/>
  <c r="Q10" i="6"/>
  <c r="Q11" i="6" s="1"/>
  <c r="Q12" i="6" s="1"/>
  <c r="Q13" i="6" s="1"/>
  <c r="Q14" i="6" s="1"/>
  <c r="Q15" i="6" s="1"/>
  <c r="Q16" i="6" s="1"/>
  <c r="Q17" i="6" s="1"/>
  <c r="Q18" i="6" s="1"/>
  <c r="Q19" i="6" s="1"/>
  <c r="Q20" i="6" s="1"/>
  <c r="Q21" i="6" s="1"/>
  <c r="Q22" i="6" s="1"/>
  <c r="Q23" i="6" s="1"/>
  <c r="Q24" i="6" s="1"/>
  <c r="Q25" i="6" s="1"/>
  <c r="Q26" i="6" s="1"/>
  <c r="Q27" i="6" s="1"/>
  <c r="Q28" i="6" s="1"/>
  <c r="Q29" i="6" s="1"/>
  <c r="Q30" i="6" s="1"/>
  <c r="Q31" i="6" s="1"/>
  <c r="Q32" i="6" s="1"/>
  <c r="Q33" i="6" s="1"/>
  <c r="Q34" i="6" s="1"/>
  <c r="Q35" i="6" s="1"/>
  <c r="Q36" i="6" s="1"/>
  <c r="Q37" i="6" s="1"/>
  <c r="Q38" i="6" s="1"/>
  <c r="Q39" i="6" s="1"/>
  <c r="Q40" i="6" s="1"/>
  <c r="Q41" i="6" s="1"/>
  <c r="I44" i="5"/>
  <c r="J44" i="5" s="1"/>
  <c r="P42" i="5"/>
  <c r="I46" i="5" s="1"/>
  <c r="J46" i="5" s="1"/>
  <c r="O41" i="5" l="1"/>
  <c r="J41" i="5" s="1"/>
  <c r="M42" i="5"/>
  <c r="L43" i="5" s="1"/>
  <c r="B22" i="1"/>
  <c r="I48" i="5"/>
  <c r="K4" i="6" s="1"/>
  <c r="J48" i="5" l="1"/>
  <c r="C22" i="1"/>
  <c r="D22" i="1" s="1"/>
  <c r="O12" i="6" l="1"/>
  <c r="J12" i="6" s="1"/>
  <c r="I45" i="6"/>
  <c r="J45" i="6" s="1"/>
  <c r="O11" i="6"/>
  <c r="J11" i="6" s="1"/>
  <c r="O13" i="6" l="1"/>
  <c r="J13" i="6" s="1"/>
  <c r="O14" i="6"/>
  <c r="J14" i="6" s="1"/>
  <c r="O15" i="6" l="1"/>
  <c r="J15" i="6" s="1"/>
  <c r="O16" i="6" l="1"/>
  <c r="J16" i="6" s="1"/>
  <c r="O17" i="6"/>
  <c r="J17" i="6" s="1"/>
  <c r="O19" i="6" l="1"/>
  <c r="J19" i="6" s="1"/>
  <c r="O18" i="6"/>
  <c r="J18" i="6" s="1"/>
  <c r="O20" i="6" l="1"/>
  <c r="J20" i="6" s="1"/>
  <c r="O21" i="6" l="1"/>
  <c r="J21" i="6" s="1"/>
  <c r="O22" i="6" l="1"/>
  <c r="J22" i="6" s="1"/>
  <c r="O23" i="6" l="1"/>
  <c r="J23" i="6" s="1"/>
  <c r="O24" i="6" l="1"/>
  <c r="J24" i="6" s="1"/>
  <c r="O25" i="6" l="1"/>
  <c r="J25" i="6" s="1"/>
  <c r="O26" i="6" l="1"/>
  <c r="J26" i="6" s="1"/>
  <c r="O27" i="6" l="1"/>
  <c r="J27" i="6" s="1"/>
  <c r="O28" i="6" l="1"/>
  <c r="J28" i="6" s="1"/>
  <c r="O29" i="6" l="1"/>
  <c r="J29" i="6" s="1"/>
  <c r="O30" i="6" l="1"/>
  <c r="J30" i="6" s="1"/>
  <c r="O31" i="6" l="1"/>
  <c r="J31" i="6" s="1"/>
  <c r="O32" i="6" l="1"/>
  <c r="J32" i="6" s="1"/>
  <c r="O33" i="6" l="1"/>
  <c r="J33" i="6" s="1"/>
  <c r="O34" i="6" l="1"/>
  <c r="J34" i="6" s="1"/>
  <c r="O35" i="6" l="1"/>
  <c r="J35" i="6" s="1"/>
  <c r="O36" i="6" l="1"/>
  <c r="J36" i="6" s="1"/>
  <c r="O37" i="6" l="1"/>
  <c r="J37" i="6" s="1"/>
  <c r="O38" i="6" l="1"/>
  <c r="J38" i="6" s="1"/>
  <c r="O39" i="6" l="1"/>
  <c r="J39" i="6" s="1"/>
  <c r="Q42" i="6" l="1"/>
  <c r="O40" i="6"/>
  <c r="J40" i="6" s="1"/>
  <c r="I7" i="6" l="1"/>
  <c r="Q44" i="6"/>
  <c r="E23" i="1" s="1"/>
  <c r="Q10" i="7"/>
  <c r="I44" i="6"/>
  <c r="J44" i="6" s="1"/>
  <c r="P42" i="6"/>
  <c r="I46" i="6" s="1"/>
  <c r="J46" i="6" s="1"/>
  <c r="O41" i="6" l="1"/>
  <c r="J41" i="6" s="1"/>
  <c r="M42" i="6"/>
  <c r="L43" i="6" s="1"/>
  <c r="B23" i="1"/>
  <c r="I48" i="6"/>
  <c r="K4" i="7" s="1"/>
  <c r="C23" i="1" l="1"/>
  <c r="D23" i="1" s="1"/>
  <c r="J48" i="6"/>
  <c r="I45" i="7" l="1"/>
  <c r="J45" i="7" s="1"/>
  <c r="X3" i="7"/>
  <c r="BA8" i="1" l="1"/>
  <c r="BB8" i="1"/>
  <c r="BN8" i="1" s="1"/>
  <c r="X4" i="7"/>
  <c r="Y4" i="7" s="1"/>
  <c r="F37" i="7" l="1"/>
  <c r="F16" i="7"/>
  <c r="P16" i="7" s="1"/>
  <c r="F23" i="7"/>
  <c r="P23" i="7" s="1"/>
  <c r="F30" i="7"/>
  <c r="P30" i="7" s="1"/>
  <c r="Y5" i="7"/>
  <c r="Y6" i="7"/>
  <c r="Y7" i="7"/>
  <c r="Y3" i="7"/>
  <c r="P37" i="7"/>
  <c r="W8" i="7"/>
  <c r="R14" i="7"/>
  <c r="R15" i="7"/>
  <c r="R21" i="7"/>
  <c r="R41" i="7"/>
  <c r="R28" i="7"/>
  <c r="R35" i="7"/>
  <c r="X8" i="7"/>
  <c r="M23" i="7" l="1"/>
  <c r="I23" i="7"/>
  <c r="M30" i="7"/>
  <c r="I30" i="7"/>
  <c r="M37" i="7"/>
  <c r="I37" i="7"/>
  <c r="F22" i="7"/>
  <c r="R22" i="7" s="1"/>
  <c r="F29" i="7"/>
  <c r="P29" i="7" s="1"/>
  <c r="F36" i="7"/>
  <c r="F33" i="7"/>
  <c r="P33" i="7" s="1"/>
  <c r="F12" i="7"/>
  <c r="P12" i="7" s="1"/>
  <c r="F26" i="7"/>
  <c r="P26" i="7" s="1"/>
  <c r="F40" i="7"/>
  <c r="F19" i="7"/>
  <c r="P19" i="7" s="1"/>
  <c r="M16" i="7"/>
  <c r="I16" i="7"/>
  <c r="F39" i="7"/>
  <c r="F18" i="7"/>
  <c r="F11" i="7"/>
  <c r="F25" i="7"/>
  <c r="P25" i="7" s="1"/>
  <c r="F32" i="7"/>
  <c r="P32" i="7" s="1"/>
  <c r="F31" i="7"/>
  <c r="P31" i="7" s="1"/>
  <c r="F38" i="7"/>
  <c r="P38" i="7" s="1"/>
  <c r="F24" i="7"/>
  <c r="P24" i="7" s="1"/>
  <c r="F17" i="7"/>
  <c r="P18" i="7"/>
  <c r="P11" i="7"/>
  <c r="P39" i="7"/>
  <c r="P36" i="7"/>
  <c r="P17" i="7"/>
  <c r="P40" i="7"/>
  <c r="R36" i="7"/>
  <c r="R37" i="7"/>
  <c r="R30" i="7"/>
  <c r="R16" i="7"/>
  <c r="R23" i="7"/>
  <c r="R13" i="7"/>
  <c r="R34" i="7"/>
  <c r="R20" i="7"/>
  <c r="R27" i="7"/>
  <c r="R32" i="7"/>
  <c r="P22" i="7" l="1"/>
  <c r="M31" i="7"/>
  <c r="I31" i="7"/>
  <c r="M29" i="7"/>
  <c r="I29" i="7"/>
  <c r="M19" i="7"/>
  <c r="I19" i="7"/>
  <c r="M33" i="7"/>
  <c r="I33" i="7"/>
  <c r="M12" i="7"/>
  <c r="I12" i="7"/>
  <c r="M24" i="7"/>
  <c r="I24" i="7"/>
  <c r="M39" i="7"/>
  <c r="I39" i="7"/>
  <c r="M25" i="7"/>
  <c r="I25" i="7"/>
  <c r="R25" i="7"/>
  <c r="M11" i="7"/>
  <c r="I11" i="7"/>
  <c r="M26" i="7"/>
  <c r="I26" i="7"/>
  <c r="M17" i="7"/>
  <c r="I17" i="7"/>
  <c r="M22" i="7"/>
  <c r="I22" i="7"/>
  <c r="M18" i="7"/>
  <c r="I18" i="7"/>
  <c r="M40" i="7"/>
  <c r="I40" i="7"/>
  <c r="M38" i="7"/>
  <c r="I38" i="7"/>
  <c r="M36" i="7"/>
  <c r="I36" i="7"/>
  <c r="M32" i="7"/>
  <c r="I32" i="7"/>
  <c r="R29" i="7"/>
  <c r="R18" i="7"/>
  <c r="Q11" i="7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Q36" i="7" s="1"/>
  <c r="Q37" i="7" s="1"/>
  <c r="Q38" i="7" s="1"/>
  <c r="Q39" i="7" s="1"/>
  <c r="Q40" i="7" s="1"/>
  <c r="Q41" i="7" s="1"/>
  <c r="R39" i="7"/>
  <c r="R26" i="7"/>
  <c r="R17" i="7"/>
  <c r="R38" i="7"/>
  <c r="R40" i="7"/>
  <c r="R33" i="7"/>
  <c r="R24" i="7"/>
  <c r="R19" i="7"/>
  <c r="R31" i="7"/>
  <c r="R11" i="7"/>
  <c r="R12" i="7"/>
  <c r="R43" i="7" l="1"/>
  <c r="Q43" i="7" s="1"/>
  <c r="R42" i="7"/>
  <c r="O11" i="7"/>
  <c r="J11" i="7" s="1"/>
  <c r="O12" i="7" l="1"/>
  <c r="J12" i="7" s="1"/>
  <c r="O13" i="7"/>
  <c r="J13" i="7" s="1"/>
  <c r="O14" i="7" l="1"/>
  <c r="J14" i="7" s="1"/>
  <c r="O15" i="7" l="1"/>
  <c r="J15" i="7" s="1"/>
  <c r="O16" i="7" l="1"/>
  <c r="J16" i="7" s="1"/>
  <c r="O17" i="7" l="1"/>
  <c r="J17" i="7" s="1"/>
  <c r="O18" i="7" l="1"/>
  <c r="J18" i="7" s="1"/>
  <c r="O19" i="7" l="1"/>
  <c r="J19" i="7" s="1"/>
  <c r="O20" i="7" l="1"/>
  <c r="J20" i="7" s="1"/>
  <c r="O21" i="7" l="1"/>
  <c r="J21" i="7" s="1"/>
  <c r="O22" i="7" l="1"/>
  <c r="J22" i="7" s="1"/>
  <c r="O23" i="7" l="1"/>
  <c r="J23" i="7" s="1"/>
  <c r="O24" i="7" l="1"/>
  <c r="J24" i="7" s="1"/>
  <c r="O25" i="7" l="1"/>
  <c r="J25" i="7" s="1"/>
  <c r="O26" i="7" l="1"/>
  <c r="J26" i="7" s="1"/>
  <c r="O27" i="7" l="1"/>
  <c r="J27" i="7" s="1"/>
  <c r="O28" i="7" l="1"/>
  <c r="J28" i="7" s="1"/>
  <c r="O29" i="7" l="1"/>
  <c r="J29" i="7" s="1"/>
  <c r="O30" i="7" l="1"/>
  <c r="J30" i="7" s="1"/>
  <c r="O31" i="7" l="1"/>
  <c r="J31" i="7" s="1"/>
  <c r="O32" i="7" l="1"/>
  <c r="J32" i="7" s="1"/>
  <c r="O33" i="7" l="1"/>
  <c r="J33" i="7" s="1"/>
  <c r="O34" i="7" l="1"/>
  <c r="J34" i="7" s="1"/>
  <c r="O35" i="7" l="1"/>
  <c r="J35" i="7" s="1"/>
  <c r="O36" i="7" l="1"/>
  <c r="J36" i="7" s="1"/>
  <c r="O37" i="7" l="1"/>
  <c r="J37" i="7" s="1"/>
  <c r="O38" i="7" l="1"/>
  <c r="J38" i="7" s="1"/>
  <c r="O39" i="7" l="1"/>
  <c r="J39" i="7" s="1"/>
  <c r="Q42" i="7" l="1"/>
  <c r="O40" i="7"/>
  <c r="J40" i="7" s="1"/>
  <c r="I7" i="7" l="1"/>
  <c r="Q44" i="7"/>
  <c r="E24" i="1" s="1"/>
  <c r="Q10" i="8"/>
  <c r="Q11" i="8" s="1"/>
  <c r="Q12" i="8" s="1"/>
  <c r="I44" i="7"/>
  <c r="J44" i="7" s="1"/>
  <c r="P42" i="7"/>
  <c r="I46" i="7" s="1"/>
  <c r="J46" i="7" s="1"/>
  <c r="O41" i="7" l="1"/>
  <c r="J41" i="7" s="1"/>
  <c r="M42" i="7"/>
  <c r="L43" i="7" s="1"/>
  <c r="B24" i="1"/>
  <c r="I48" i="7"/>
  <c r="K4" i="8" s="1"/>
  <c r="C24" i="1" l="1"/>
  <c r="D24" i="1" s="1"/>
  <c r="J48" i="7"/>
  <c r="I45" i="8" l="1"/>
  <c r="J45" i="8" s="1"/>
  <c r="BM8" i="1"/>
  <c r="X3" i="8"/>
  <c r="X6" i="8" l="1"/>
  <c r="X3" i="12"/>
  <c r="X6" i="10"/>
  <c r="X6" i="9"/>
  <c r="X4" i="9"/>
  <c r="X5" i="8"/>
  <c r="X4" i="8"/>
  <c r="BB9" i="1"/>
  <c r="BN9" i="1" s="1"/>
  <c r="BM9" i="1" s="1"/>
  <c r="X7" i="8"/>
  <c r="X6" i="11"/>
  <c r="BA9" i="1"/>
  <c r="Y4" i="8" l="1"/>
  <c r="Y6" i="8"/>
  <c r="Y7" i="8"/>
  <c r="Y5" i="8"/>
  <c r="Y3" i="8"/>
  <c r="P35" i="8"/>
  <c r="P21" i="8"/>
  <c r="P28" i="8"/>
  <c r="P14" i="8"/>
  <c r="X3" i="11"/>
  <c r="X3" i="9"/>
  <c r="X3" i="13"/>
  <c r="R40" i="8"/>
  <c r="X3" i="10"/>
  <c r="R12" i="8"/>
  <c r="X7" i="9"/>
  <c r="R33" i="8"/>
  <c r="BA10" i="1"/>
  <c r="X8" i="8"/>
  <c r="X5" i="9"/>
  <c r="BB10" i="1"/>
  <c r="BN10" i="1" s="1"/>
  <c r="BM10" i="1" s="1"/>
  <c r="W8" i="8"/>
  <c r="X6" i="13"/>
  <c r="X6" i="12"/>
  <c r="R26" i="8"/>
  <c r="R19" i="8"/>
  <c r="X4" i="10"/>
  <c r="M35" i="8" l="1"/>
  <c r="I35" i="8"/>
  <c r="M28" i="8"/>
  <c r="I28" i="8"/>
  <c r="M21" i="8"/>
  <c r="I21" i="8"/>
  <c r="M14" i="8"/>
  <c r="I14" i="8"/>
  <c r="Y3" i="9"/>
  <c r="Y5" i="9"/>
  <c r="Y6" i="9"/>
  <c r="Y7" i="9"/>
  <c r="Y4" i="9"/>
  <c r="P31" i="8"/>
  <c r="P17" i="8"/>
  <c r="P24" i="8"/>
  <c r="P38" i="8"/>
  <c r="P15" i="8"/>
  <c r="P29" i="8"/>
  <c r="P22" i="8"/>
  <c r="P36" i="8"/>
  <c r="P27" i="8"/>
  <c r="P13" i="8"/>
  <c r="P41" i="8"/>
  <c r="P34" i="8"/>
  <c r="P20" i="8"/>
  <c r="P23" i="8"/>
  <c r="P37" i="8"/>
  <c r="P16" i="8"/>
  <c r="P30" i="8"/>
  <c r="R17" i="8"/>
  <c r="R14" i="8"/>
  <c r="R28" i="8"/>
  <c r="R32" i="8"/>
  <c r="R18" i="8"/>
  <c r="R39" i="8"/>
  <c r="R25" i="8"/>
  <c r="R21" i="8"/>
  <c r="R35" i="8"/>
  <c r="R13" i="9"/>
  <c r="R37" i="9"/>
  <c r="X8" i="9"/>
  <c r="R30" i="9"/>
  <c r="R23" i="9"/>
  <c r="X4" i="11"/>
  <c r="W8" i="9"/>
  <c r="X5" i="10"/>
  <c r="BA11" i="1"/>
  <c r="BB11" i="1"/>
  <c r="BN11" i="1" s="1"/>
  <c r="BM11" i="1" s="1"/>
  <c r="X7" i="10"/>
  <c r="R16" i="9"/>
  <c r="M37" i="8" l="1"/>
  <c r="I37" i="8"/>
  <c r="M41" i="8"/>
  <c r="I41" i="8"/>
  <c r="M22" i="8"/>
  <c r="I22" i="8"/>
  <c r="M24" i="8"/>
  <c r="I24" i="8"/>
  <c r="M23" i="8"/>
  <c r="I23" i="8"/>
  <c r="M13" i="8"/>
  <c r="I13" i="8"/>
  <c r="M29" i="8"/>
  <c r="I29" i="8"/>
  <c r="M17" i="8"/>
  <c r="I17" i="8"/>
  <c r="M30" i="8"/>
  <c r="I30" i="8"/>
  <c r="M20" i="8"/>
  <c r="I20" i="8"/>
  <c r="M27" i="8"/>
  <c r="I27" i="8"/>
  <c r="M15" i="8"/>
  <c r="I15" i="8"/>
  <c r="M31" i="8"/>
  <c r="I31" i="8"/>
  <c r="M16" i="8"/>
  <c r="I16" i="8"/>
  <c r="M34" i="8"/>
  <c r="I34" i="8"/>
  <c r="M36" i="8"/>
  <c r="I36" i="8"/>
  <c r="M38" i="8"/>
  <c r="I38" i="8"/>
  <c r="Y7" i="10"/>
  <c r="Y3" i="10"/>
  <c r="Y5" i="10"/>
  <c r="Y4" i="10"/>
  <c r="Y6" i="10"/>
  <c r="R15" i="8"/>
  <c r="R34" i="8"/>
  <c r="R20" i="8"/>
  <c r="R29" i="8"/>
  <c r="R24" i="8"/>
  <c r="R37" i="8"/>
  <c r="R41" i="8"/>
  <c r="R36" i="8"/>
  <c r="R31" i="8"/>
  <c r="R16" i="8"/>
  <c r="R23" i="8"/>
  <c r="R13" i="8"/>
  <c r="Q13" i="8"/>
  <c r="Q14" i="8" s="1"/>
  <c r="Q15" i="8" s="1"/>
  <c r="Q16" i="8" s="1"/>
  <c r="Q17" i="8" s="1"/>
  <c r="Q18" i="8" s="1"/>
  <c r="Q19" i="8" s="1"/>
  <c r="Q20" i="8" s="1"/>
  <c r="Q21" i="8" s="1"/>
  <c r="Q22" i="8" s="1"/>
  <c r="Q23" i="8" s="1"/>
  <c r="Q24" i="8" s="1"/>
  <c r="Q25" i="8" s="1"/>
  <c r="Q26" i="8" s="1"/>
  <c r="Q27" i="8" s="1"/>
  <c r="Q28" i="8" s="1"/>
  <c r="Q29" i="8" s="1"/>
  <c r="Q30" i="8" s="1"/>
  <c r="Q31" i="8" s="1"/>
  <c r="Q32" i="8" s="1"/>
  <c r="Q33" i="8" s="1"/>
  <c r="Q34" i="8" s="1"/>
  <c r="Q35" i="8" s="1"/>
  <c r="Q36" i="8" s="1"/>
  <c r="Q37" i="8" s="1"/>
  <c r="Q38" i="8" s="1"/>
  <c r="Q39" i="8" s="1"/>
  <c r="Q40" i="8" s="1"/>
  <c r="Q41" i="8" s="1"/>
  <c r="R22" i="8"/>
  <c r="R38" i="8"/>
  <c r="R30" i="8"/>
  <c r="R27" i="8"/>
  <c r="R27" i="9"/>
  <c r="R41" i="9"/>
  <c r="R34" i="9"/>
  <c r="R20" i="9"/>
  <c r="R38" i="9"/>
  <c r="R17" i="9"/>
  <c r="R24" i="9"/>
  <c r="R31" i="9"/>
  <c r="R39" i="9"/>
  <c r="R25" i="9"/>
  <c r="R32" i="9"/>
  <c r="R18" i="9"/>
  <c r="R11" i="9"/>
  <c r="R26" i="9"/>
  <c r="R33" i="9"/>
  <c r="R19" i="9"/>
  <c r="R40" i="9"/>
  <c r="R12" i="9"/>
  <c r="R22" i="9"/>
  <c r="R15" i="9"/>
  <c r="R29" i="9"/>
  <c r="R36" i="9"/>
  <c r="R19" i="10"/>
  <c r="R12" i="10"/>
  <c r="R40" i="10"/>
  <c r="R26" i="10"/>
  <c r="R33" i="10"/>
  <c r="R37" i="10"/>
  <c r="R14" i="9"/>
  <c r="R35" i="9"/>
  <c r="R28" i="9"/>
  <c r="R21" i="9"/>
  <c r="R13" i="10"/>
  <c r="W8" i="10"/>
  <c r="X7" i="11"/>
  <c r="X5" i="11"/>
  <c r="BB12" i="1"/>
  <c r="BN12" i="1" s="1"/>
  <c r="BM12" i="1" s="1"/>
  <c r="R41" i="10"/>
  <c r="BA12" i="1"/>
  <c r="X4" i="12"/>
  <c r="R20" i="10"/>
  <c r="X8" i="10"/>
  <c r="R34" i="10"/>
  <c r="R27" i="10"/>
  <c r="R11" i="8"/>
  <c r="Y7" i="11" l="1"/>
  <c r="Y5" i="11"/>
  <c r="Y6" i="11"/>
  <c r="Y3" i="11"/>
  <c r="Y4" i="11"/>
  <c r="R42" i="8"/>
  <c r="R14" i="10"/>
  <c r="R28" i="10"/>
  <c r="R35" i="10"/>
  <c r="R21" i="10"/>
  <c r="R30" i="10"/>
  <c r="R23" i="10"/>
  <c r="R43" i="8"/>
  <c r="Q43" i="8" s="1"/>
  <c r="R31" i="10"/>
  <c r="R24" i="10"/>
  <c r="R38" i="10"/>
  <c r="R17" i="10"/>
  <c r="R39" i="10"/>
  <c r="R18" i="10"/>
  <c r="R25" i="10"/>
  <c r="R32" i="10"/>
  <c r="R11" i="11"/>
  <c r="R15" i="10"/>
  <c r="R36" i="10"/>
  <c r="R22" i="10"/>
  <c r="R29" i="10"/>
  <c r="BA13" i="1"/>
  <c r="R16" i="10"/>
  <c r="R18" i="11"/>
  <c r="R41" i="11"/>
  <c r="X8" i="11"/>
  <c r="R13" i="11"/>
  <c r="R32" i="11"/>
  <c r="R42" i="9"/>
  <c r="BB13" i="1"/>
  <c r="BN13" i="1" s="1"/>
  <c r="BM13" i="1" s="1"/>
  <c r="R25" i="11"/>
  <c r="W8" i="11"/>
  <c r="R43" i="9"/>
  <c r="Q43" i="9" s="1"/>
  <c r="X7" i="12"/>
  <c r="X7" i="13"/>
  <c r="X5" i="12"/>
  <c r="X5" i="13"/>
  <c r="R39" i="11"/>
  <c r="X4" i="13"/>
  <c r="Y5" i="12" l="1"/>
  <c r="Y5" i="13"/>
  <c r="Y6" i="12"/>
  <c r="Y4" i="13"/>
  <c r="Y3" i="13"/>
  <c r="Y6" i="13"/>
  <c r="Y3" i="12"/>
  <c r="Y7" i="13"/>
  <c r="Y7" i="12"/>
  <c r="Y4" i="12"/>
  <c r="R12" i="11"/>
  <c r="R19" i="11"/>
  <c r="R33" i="11"/>
  <c r="R40" i="11"/>
  <c r="R26" i="11"/>
  <c r="R30" i="11"/>
  <c r="R37" i="11"/>
  <c r="R23" i="11"/>
  <c r="R16" i="11"/>
  <c r="R21" i="11"/>
  <c r="R35" i="11"/>
  <c r="R14" i="11"/>
  <c r="R28" i="11"/>
  <c r="R24" i="11"/>
  <c r="R31" i="11"/>
  <c r="R17" i="11"/>
  <c r="R38" i="11"/>
  <c r="BB14" i="1"/>
  <c r="BN14" i="1" s="1"/>
  <c r="BM14" i="1" s="1"/>
  <c r="R36" i="11"/>
  <c r="R15" i="11"/>
  <c r="R29" i="11"/>
  <c r="R22" i="11"/>
  <c r="R20" i="11"/>
  <c r="R27" i="11"/>
  <c r="R34" i="11"/>
  <c r="BA14" i="1"/>
  <c r="R36" i="12"/>
  <c r="R15" i="12"/>
  <c r="I44" i="12"/>
  <c r="J44" i="12" s="1"/>
  <c r="R41" i="12"/>
  <c r="R13" i="13"/>
  <c r="X8" i="13"/>
  <c r="W8" i="13"/>
  <c r="R27" i="13"/>
  <c r="R36" i="13"/>
  <c r="R34" i="13"/>
  <c r="R41" i="13"/>
  <c r="I44" i="13"/>
  <c r="J44" i="13" s="1"/>
  <c r="R35" i="13"/>
  <c r="R20" i="13"/>
  <c r="R29" i="12"/>
  <c r="X8" i="12"/>
  <c r="R11" i="10"/>
  <c r="R42" i="10" s="1"/>
  <c r="W8" i="12"/>
  <c r="R22" i="12"/>
  <c r="R19" i="12" l="1"/>
  <c r="R21" i="13"/>
  <c r="R28" i="13"/>
  <c r="R14" i="13"/>
  <c r="R32" i="12"/>
  <c r="R18" i="12"/>
  <c r="R16" i="12"/>
  <c r="R23" i="12"/>
  <c r="R37" i="12"/>
  <c r="R30" i="12"/>
  <c r="R43" i="10"/>
  <c r="Q43" i="10" s="1"/>
  <c r="R11" i="12"/>
  <c r="R39" i="12"/>
  <c r="R25" i="12"/>
  <c r="R33" i="12"/>
  <c r="R40" i="12"/>
  <c r="R12" i="12"/>
  <c r="R26" i="12"/>
  <c r="R27" i="12"/>
  <c r="R20" i="12"/>
  <c r="R34" i="12"/>
  <c r="R13" i="12"/>
  <c r="R14" i="12"/>
  <c r="R21" i="12"/>
  <c r="R35" i="12"/>
  <c r="R28" i="12"/>
  <c r="R38" i="12"/>
  <c r="R17" i="12"/>
  <c r="R31" i="12"/>
  <c r="R24" i="12"/>
  <c r="R37" i="13"/>
  <c r="R16" i="13"/>
  <c r="R23" i="13"/>
  <c r="R30" i="13"/>
  <c r="R33" i="13"/>
  <c r="R40" i="13"/>
  <c r="R12" i="13"/>
  <c r="R19" i="13"/>
  <c r="R26" i="13"/>
  <c r="R29" i="13"/>
  <c r="R15" i="13"/>
  <c r="R22" i="13"/>
  <c r="R25" i="13"/>
  <c r="R32" i="13"/>
  <c r="R39" i="13"/>
  <c r="R11" i="13"/>
  <c r="R18" i="13"/>
  <c r="R17" i="13"/>
  <c r="R24" i="13"/>
  <c r="R31" i="13"/>
  <c r="R38" i="13"/>
  <c r="R42" i="11"/>
  <c r="R43" i="11"/>
  <c r="Q43" i="11" s="1"/>
  <c r="O11" i="8"/>
  <c r="J11" i="8" s="1"/>
  <c r="O12" i="8"/>
  <c r="J12" i="8" s="1"/>
  <c r="O13" i="8" l="1"/>
  <c r="J13" i="8" s="1"/>
  <c r="R42" i="13"/>
  <c r="R42" i="12"/>
  <c r="R43" i="13"/>
  <c r="Q43" i="13" s="1"/>
  <c r="R43" i="12"/>
  <c r="Q43" i="12" s="1"/>
  <c r="O14" i="8" l="1"/>
  <c r="J14" i="8" s="1"/>
  <c r="O16" i="8" l="1"/>
  <c r="J16" i="8" s="1"/>
  <c r="O15" i="8"/>
  <c r="J15" i="8" s="1"/>
  <c r="O18" i="8" l="1"/>
  <c r="J18" i="8" s="1"/>
  <c r="O17" i="8"/>
  <c r="J17" i="8" s="1"/>
  <c r="O19" i="8" l="1"/>
  <c r="J19" i="8" s="1"/>
  <c r="O20" i="8" l="1"/>
  <c r="J20" i="8" s="1"/>
  <c r="O21" i="8" l="1"/>
  <c r="J21" i="8" s="1"/>
  <c r="O22" i="8" l="1"/>
  <c r="J22" i="8" s="1"/>
  <c r="O23" i="8" l="1"/>
  <c r="J23" i="8" s="1"/>
  <c r="O24" i="8" l="1"/>
  <c r="J24" i="8" s="1"/>
  <c r="O25" i="8" l="1"/>
  <c r="J25" i="8" s="1"/>
  <c r="O26" i="8" l="1"/>
  <c r="J26" i="8" s="1"/>
  <c r="O27" i="8" l="1"/>
  <c r="J27" i="8" s="1"/>
  <c r="O28" i="8" l="1"/>
  <c r="J28" i="8" s="1"/>
  <c r="O29" i="8" l="1"/>
  <c r="J29" i="8" s="1"/>
  <c r="O30" i="8" l="1"/>
  <c r="J30" i="8" s="1"/>
  <c r="O31" i="8" l="1"/>
  <c r="J31" i="8" s="1"/>
  <c r="O32" i="8" l="1"/>
  <c r="J32" i="8" s="1"/>
  <c r="O33" i="8" l="1"/>
  <c r="J33" i="8" s="1"/>
  <c r="O34" i="8" l="1"/>
  <c r="J34" i="8" s="1"/>
  <c r="O35" i="8" l="1"/>
  <c r="J35" i="8" s="1"/>
  <c r="O36" i="8" l="1"/>
  <c r="J36" i="8" s="1"/>
  <c r="O37" i="8" l="1"/>
  <c r="J37" i="8" s="1"/>
  <c r="O38" i="8" l="1"/>
  <c r="J38" i="8" s="1"/>
  <c r="O39" i="8" l="1"/>
  <c r="J39" i="8" s="1"/>
  <c r="Q42" i="8" l="1"/>
  <c r="O40" i="8"/>
  <c r="J40" i="8" s="1"/>
  <c r="I7" i="8" l="1"/>
  <c r="Q44" i="8"/>
  <c r="E25" i="1" s="1"/>
  <c r="Q10" i="9"/>
  <c r="Q11" i="9" s="1"/>
  <c r="Q12" i="9" s="1"/>
  <c r="Q13" i="9" s="1"/>
  <c r="Q14" i="9" s="1"/>
  <c r="Q15" i="9" s="1"/>
  <c r="Q16" i="9" s="1"/>
  <c r="Q17" i="9" s="1"/>
  <c r="Q18" i="9" s="1"/>
  <c r="Q19" i="9" s="1"/>
  <c r="Q20" i="9" s="1"/>
  <c r="Q21" i="9" s="1"/>
  <c r="Q22" i="9" s="1"/>
  <c r="Q23" i="9" s="1"/>
  <c r="Q24" i="9" s="1"/>
  <c r="Q25" i="9" s="1"/>
  <c r="Q26" i="9" s="1"/>
  <c r="Q27" i="9" s="1"/>
  <c r="Q28" i="9" s="1"/>
  <c r="Q29" i="9" s="1"/>
  <c r="Q30" i="9" s="1"/>
  <c r="Q31" i="9" s="1"/>
  <c r="Q32" i="9" s="1"/>
  <c r="Q33" i="9" s="1"/>
  <c r="Q34" i="9" s="1"/>
  <c r="Q35" i="9" s="1"/>
  <c r="Q36" i="9" s="1"/>
  <c r="Q37" i="9" s="1"/>
  <c r="Q38" i="9" s="1"/>
  <c r="Q39" i="9" s="1"/>
  <c r="Q40" i="9" s="1"/>
  <c r="Q41" i="9" s="1"/>
  <c r="I44" i="8"/>
  <c r="J44" i="8" s="1"/>
  <c r="P42" i="8"/>
  <c r="I46" i="8" s="1"/>
  <c r="J46" i="8" s="1"/>
  <c r="O41" i="8" l="1"/>
  <c r="J41" i="8" s="1"/>
  <c r="M42" i="8"/>
  <c r="L43" i="8" s="1"/>
  <c r="B25" i="1"/>
  <c r="I48" i="8"/>
  <c r="K4" i="9" s="1"/>
  <c r="C25" i="1" l="1"/>
  <c r="D25" i="1" s="1"/>
  <c r="J48" i="8"/>
  <c r="O12" i="9" l="1"/>
  <c r="J12" i="9" s="1"/>
  <c r="I45" i="9"/>
  <c r="J45" i="9" s="1"/>
  <c r="O11" i="9"/>
  <c r="J11" i="9" s="1"/>
  <c r="O13" i="9" l="1"/>
  <c r="J13" i="9" s="1"/>
  <c r="O14" i="9" l="1"/>
  <c r="J14" i="9" s="1"/>
  <c r="O15" i="9" l="1"/>
  <c r="J15" i="9" s="1"/>
  <c r="O16" i="9" l="1"/>
  <c r="J16" i="9" s="1"/>
  <c r="O17" i="9"/>
  <c r="J17" i="9" s="1"/>
  <c r="O18" i="9" l="1"/>
  <c r="J18" i="9" s="1"/>
  <c r="O19" i="9" l="1"/>
  <c r="J19" i="9" s="1"/>
  <c r="O20" i="9" l="1"/>
  <c r="J20" i="9" s="1"/>
  <c r="O21" i="9" l="1"/>
  <c r="J21" i="9" s="1"/>
  <c r="O22" i="9" l="1"/>
  <c r="J22" i="9" s="1"/>
  <c r="O23" i="9" l="1"/>
  <c r="J23" i="9" s="1"/>
  <c r="O24" i="9" l="1"/>
  <c r="J24" i="9" s="1"/>
  <c r="O25" i="9" l="1"/>
  <c r="J25" i="9" s="1"/>
  <c r="O26" i="9" l="1"/>
  <c r="J26" i="9" s="1"/>
  <c r="O27" i="9" l="1"/>
  <c r="J27" i="9" s="1"/>
  <c r="O28" i="9" l="1"/>
  <c r="J28" i="9" s="1"/>
  <c r="O29" i="9" l="1"/>
  <c r="J29" i="9" s="1"/>
  <c r="O30" i="9" l="1"/>
  <c r="J30" i="9" s="1"/>
  <c r="O31" i="9" l="1"/>
  <c r="J31" i="9" s="1"/>
  <c r="O32" i="9" l="1"/>
  <c r="J32" i="9" s="1"/>
  <c r="O33" i="9" l="1"/>
  <c r="J33" i="9" s="1"/>
  <c r="O34" i="9" l="1"/>
  <c r="J34" i="9" s="1"/>
  <c r="O35" i="9" l="1"/>
  <c r="J35" i="9" s="1"/>
  <c r="O36" i="9" l="1"/>
  <c r="J36" i="9" s="1"/>
  <c r="O37" i="9" l="1"/>
  <c r="J37" i="9" s="1"/>
  <c r="O38" i="9" l="1"/>
  <c r="J38" i="9" s="1"/>
  <c r="O39" i="9" l="1"/>
  <c r="J39" i="9" s="1"/>
  <c r="Q42" i="9" l="1"/>
  <c r="O40" i="9"/>
  <c r="J40" i="9" s="1"/>
  <c r="I7" i="9" l="1"/>
  <c r="Q44" i="9"/>
  <c r="E26" i="1" s="1"/>
  <c r="Q10" i="10"/>
  <c r="Q11" i="10" s="1"/>
  <c r="Q12" i="10" s="1"/>
  <c r="Q13" i="10" s="1"/>
  <c r="Q14" i="10" s="1"/>
  <c r="Q15" i="10" s="1"/>
  <c r="Q16" i="10" s="1"/>
  <c r="Q17" i="10" s="1"/>
  <c r="Q18" i="10" s="1"/>
  <c r="Q19" i="10" s="1"/>
  <c r="Q20" i="10" s="1"/>
  <c r="Q21" i="10" s="1"/>
  <c r="Q22" i="10" s="1"/>
  <c r="Q23" i="10" s="1"/>
  <c r="Q24" i="10" s="1"/>
  <c r="Q25" i="10" s="1"/>
  <c r="Q26" i="10" s="1"/>
  <c r="Q27" i="10" s="1"/>
  <c r="Q28" i="10" s="1"/>
  <c r="Q29" i="10" s="1"/>
  <c r="Q30" i="10" s="1"/>
  <c r="Q31" i="10" s="1"/>
  <c r="Q32" i="10" s="1"/>
  <c r="Q33" i="10" s="1"/>
  <c r="Q34" i="10" s="1"/>
  <c r="Q35" i="10" s="1"/>
  <c r="Q36" i="10" s="1"/>
  <c r="Q37" i="10" s="1"/>
  <c r="Q38" i="10" s="1"/>
  <c r="Q39" i="10" s="1"/>
  <c r="Q40" i="10" s="1"/>
  <c r="Q41" i="10" s="1"/>
  <c r="I44" i="9"/>
  <c r="J44" i="9" s="1"/>
  <c r="P42" i="9"/>
  <c r="I46" i="9" s="1"/>
  <c r="J46" i="9" s="1"/>
  <c r="O41" i="9" l="1"/>
  <c r="J41" i="9" s="1"/>
  <c r="M42" i="9"/>
  <c r="L43" i="9" s="1"/>
  <c r="B26" i="1"/>
  <c r="I48" i="9"/>
  <c r="K4" i="10" s="1"/>
  <c r="J48" i="9" l="1"/>
  <c r="C26" i="1"/>
  <c r="D26" i="1" s="1"/>
  <c r="O12" i="10" l="1"/>
  <c r="J12" i="10" s="1"/>
  <c r="O11" i="10"/>
  <c r="J11" i="10" s="1"/>
  <c r="I45" i="10"/>
  <c r="J45" i="10" s="1"/>
  <c r="O14" i="10" l="1"/>
  <c r="J14" i="10" s="1"/>
  <c r="O13" i="10"/>
  <c r="J13" i="10" s="1"/>
  <c r="O15" i="10" l="1"/>
  <c r="J15" i="10" s="1"/>
  <c r="O16" i="10" l="1"/>
  <c r="J16" i="10" s="1"/>
  <c r="O18" i="10" l="1"/>
  <c r="J18" i="10" s="1"/>
  <c r="O17" i="10"/>
  <c r="J17" i="10" s="1"/>
  <c r="O19" i="10" l="1"/>
  <c r="J19" i="10" s="1"/>
  <c r="O20" i="10" l="1"/>
  <c r="J20" i="10" s="1"/>
  <c r="O21" i="10" l="1"/>
  <c r="J21" i="10" s="1"/>
  <c r="O22" i="10" l="1"/>
  <c r="J22" i="10" s="1"/>
  <c r="O23" i="10" l="1"/>
  <c r="J23" i="10" s="1"/>
  <c r="O24" i="10" l="1"/>
  <c r="J24" i="10" s="1"/>
  <c r="O25" i="10" l="1"/>
  <c r="J25" i="10" s="1"/>
  <c r="O26" i="10" l="1"/>
  <c r="J26" i="10" s="1"/>
  <c r="O27" i="10" l="1"/>
  <c r="J27" i="10" s="1"/>
  <c r="O28" i="10" l="1"/>
  <c r="J28" i="10" s="1"/>
  <c r="O29" i="10" l="1"/>
  <c r="J29" i="10" s="1"/>
  <c r="O30" i="10" l="1"/>
  <c r="J30" i="10" s="1"/>
  <c r="O31" i="10" l="1"/>
  <c r="J31" i="10" s="1"/>
  <c r="O32" i="10" l="1"/>
  <c r="J32" i="10" s="1"/>
  <c r="O33" i="10" l="1"/>
  <c r="J33" i="10" s="1"/>
  <c r="O34" i="10" l="1"/>
  <c r="J34" i="10" s="1"/>
  <c r="O35" i="10" l="1"/>
  <c r="J35" i="10" s="1"/>
  <c r="O36" i="10" l="1"/>
  <c r="J36" i="10" s="1"/>
  <c r="O37" i="10" l="1"/>
  <c r="J37" i="10" s="1"/>
  <c r="O38" i="10" l="1"/>
  <c r="J38" i="10" s="1"/>
  <c r="O39" i="10" l="1"/>
  <c r="J39" i="10" s="1"/>
  <c r="Q42" i="10" l="1"/>
  <c r="O40" i="10"/>
  <c r="J40" i="10" s="1"/>
  <c r="I7" i="10" l="1"/>
  <c r="Q44" i="10"/>
  <c r="E27" i="1" s="1"/>
  <c r="I44" i="10"/>
  <c r="J44" i="10" s="1"/>
  <c r="P42" i="10"/>
  <c r="I46" i="10" s="1"/>
  <c r="J46" i="10" s="1"/>
  <c r="Q10" i="11"/>
  <c r="Q11" i="11" s="1"/>
  <c r="Q12" i="11" s="1"/>
  <c r="Q13" i="11" s="1"/>
  <c r="Q14" i="11" s="1"/>
  <c r="Q15" i="11" s="1"/>
  <c r="Q16" i="11" s="1"/>
  <c r="Q17" i="11" s="1"/>
  <c r="Q18" i="11" s="1"/>
  <c r="Q19" i="11" s="1"/>
  <c r="Q20" i="11" s="1"/>
  <c r="Q21" i="11" s="1"/>
  <c r="Q22" i="11" s="1"/>
  <c r="Q23" i="11" s="1"/>
  <c r="Q24" i="11" s="1"/>
  <c r="Q25" i="11" s="1"/>
  <c r="Q26" i="11" s="1"/>
  <c r="Q27" i="11" s="1"/>
  <c r="Q28" i="11" s="1"/>
  <c r="Q29" i="11" s="1"/>
  <c r="Q30" i="11" s="1"/>
  <c r="Q31" i="11" s="1"/>
  <c r="Q32" i="11" s="1"/>
  <c r="Q33" i="11" s="1"/>
  <c r="Q34" i="11" s="1"/>
  <c r="Q35" i="11" s="1"/>
  <c r="Q36" i="11" s="1"/>
  <c r="Q37" i="11" s="1"/>
  <c r="Q38" i="11" s="1"/>
  <c r="Q39" i="11" s="1"/>
  <c r="Q40" i="11" s="1"/>
  <c r="Q41" i="11" s="1"/>
  <c r="B27" i="1" l="1"/>
  <c r="I48" i="10"/>
  <c r="K4" i="11" s="1"/>
  <c r="O41" i="10"/>
  <c r="J41" i="10" s="1"/>
  <c r="M42" i="10"/>
  <c r="L43" i="10" s="1"/>
  <c r="J48" i="10" l="1"/>
  <c r="C27" i="1"/>
  <c r="D27" i="1" s="1"/>
  <c r="O12" i="11" l="1"/>
  <c r="J12" i="11" s="1"/>
  <c r="I45" i="11"/>
  <c r="J45" i="11" s="1"/>
  <c r="O11" i="11"/>
  <c r="J11" i="11" s="1"/>
  <c r="O13" i="11" l="1"/>
  <c r="J13" i="11" s="1"/>
  <c r="O15" i="11" l="1"/>
  <c r="J15" i="11" s="1"/>
  <c r="O14" i="11"/>
  <c r="J14" i="11" s="1"/>
  <c r="O16" i="11" l="1"/>
  <c r="J16" i="11" s="1"/>
  <c r="O17" i="11" l="1"/>
  <c r="J17" i="11" s="1"/>
  <c r="O18" i="11" l="1"/>
  <c r="J18" i="11" s="1"/>
  <c r="O19" i="11" l="1"/>
  <c r="J19" i="11" s="1"/>
  <c r="O20" i="11" l="1"/>
  <c r="J20" i="11" s="1"/>
  <c r="O21" i="11" l="1"/>
  <c r="J21" i="11" s="1"/>
  <c r="O22" i="11" l="1"/>
  <c r="J22" i="11" s="1"/>
  <c r="O23" i="11" l="1"/>
  <c r="J23" i="11" s="1"/>
  <c r="O24" i="11" l="1"/>
  <c r="J24" i="11" s="1"/>
  <c r="O25" i="11" l="1"/>
  <c r="J25" i="11" s="1"/>
  <c r="O26" i="11" l="1"/>
  <c r="J26" i="11" s="1"/>
  <c r="O27" i="11" l="1"/>
  <c r="J27" i="11" s="1"/>
  <c r="O28" i="11" l="1"/>
  <c r="J28" i="11" s="1"/>
  <c r="O29" i="11" l="1"/>
  <c r="J29" i="11" s="1"/>
  <c r="O30" i="11" l="1"/>
  <c r="J30" i="11" s="1"/>
  <c r="O31" i="11" l="1"/>
  <c r="J31" i="11" s="1"/>
  <c r="O32" i="11" l="1"/>
  <c r="J32" i="11" s="1"/>
  <c r="O33" i="11" l="1"/>
  <c r="J33" i="11" s="1"/>
  <c r="O34" i="11" l="1"/>
  <c r="J34" i="11" s="1"/>
  <c r="O35" i="11" l="1"/>
  <c r="J35" i="11" s="1"/>
  <c r="O36" i="11" l="1"/>
  <c r="J36" i="11" s="1"/>
  <c r="O37" i="11" l="1"/>
  <c r="J37" i="11" s="1"/>
  <c r="O38" i="11" l="1"/>
  <c r="J38" i="11" s="1"/>
  <c r="O39" i="11" l="1"/>
  <c r="J39" i="11" s="1"/>
  <c r="Q42" i="11" l="1"/>
  <c r="O40" i="11"/>
  <c r="J40" i="11" s="1"/>
  <c r="I7" i="11" l="1"/>
  <c r="Q44" i="11"/>
  <c r="E28" i="1" s="1"/>
  <c r="I44" i="11"/>
  <c r="J44" i="11" s="1"/>
  <c r="P42" i="11"/>
  <c r="I46" i="11" s="1"/>
  <c r="J46" i="11" s="1"/>
  <c r="Q10" i="12"/>
  <c r="Q11" i="12" s="1"/>
  <c r="Q12" i="12" s="1"/>
  <c r="Q13" i="12" s="1"/>
  <c r="Q14" i="12" s="1"/>
  <c r="Q15" i="12" s="1"/>
  <c r="Q16" i="12" s="1"/>
  <c r="Q17" i="12" s="1"/>
  <c r="Q18" i="12" s="1"/>
  <c r="Q19" i="12" s="1"/>
  <c r="Q20" i="12" s="1"/>
  <c r="Q21" i="12" s="1"/>
  <c r="Q22" i="12" s="1"/>
  <c r="Q23" i="12" s="1"/>
  <c r="Q24" i="12" s="1"/>
  <c r="Q25" i="12" s="1"/>
  <c r="Q26" i="12" s="1"/>
  <c r="Q27" i="12" s="1"/>
  <c r="Q28" i="12" s="1"/>
  <c r="Q29" i="12" s="1"/>
  <c r="Q30" i="12" s="1"/>
  <c r="Q31" i="12" s="1"/>
  <c r="Q32" i="12" s="1"/>
  <c r="Q33" i="12" s="1"/>
  <c r="Q34" i="12" s="1"/>
  <c r="Q35" i="12" s="1"/>
  <c r="Q36" i="12" s="1"/>
  <c r="Q37" i="12" s="1"/>
  <c r="Q38" i="12" s="1"/>
  <c r="Q39" i="12" s="1"/>
  <c r="Q40" i="12" s="1"/>
  <c r="Q41" i="12" s="1"/>
  <c r="O41" i="11" l="1"/>
  <c r="J41" i="11" s="1"/>
  <c r="M42" i="11"/>
  <c r="L43" i="11" s="1"/>
  <c r="B28" i="1"/>
  <c r="I48" i="11"/>
  <c r="J48" i="11" l="1"/>
  <c r="C28" i="1"/>
  <c r="D28" i="1" s="1"/>
  <c r="O12" i="12" l="1"/>
  <c r="J12" i="12" s="1"/>
  <c r="I45" i="12"/>
  <c r="J45" i="12" s="1"/>
  <c r="O11" i="12"/>
  <c r="J11" i="12" s="1"/>
  <c r="O14" i="12" l="1"/>
  <c r="J14" i="12" s="1"/>
  <c r="O13" i="12"/>
  <c r="J13" i="12" s="1"/>
  <c r="O15" i="12" l="1"/>
  <c r="J15" i="12" s="1"/>
  <c r="O16" i="12" l="1"/>
  <c r="J16" i="12" s="1"/>
  <c r="O17" i="12" l="1"/>
  <c r="J17" i="12" s="1"/>
  <c r="O18" i="12" l="1"/>
  <c r="J18" i="12" s="1"/>
  <c r="O19" i="12" l="1"/>
  <c r="J19" i="12" s="1"/>
  <c r="O20" i="12" l="1"/>
  <c r="J20" i="12" s="1"/>
  <c r="O21" i="12" l="1"/>
  <c r="J21" i="12" s="1"/>
  <c r="O22" i="12" l="1"/>
  <c r="J22" i="12" s="1"/>
  <c r="O23" i="12" l="1"/>
  <c r="J23" i="12" s="1"/>
  <c r="O24" i="12" l="1"/>
  <c r="J24" i="12" s="1"/>
  <c r="O25" i="12" l="1"/>
  <c r="J25" i="12" s="1"/>
  <c r="O26" i="12" l="1"/>
  <c r="J26" i="12" s="1"/>
  <c r="O27" i="12" l="1"/>
  <c r="J27" i="12" s="1"/>
  <c r="O28" i="12" l="1"/>
  <c r="J28" i="12" s="1"/>
  <c r="O29" i="12" l="1"/>
  <c r="J29" i="12" s="1"/>
  <c r="O30" i="12" l="1"/>
  <c r="J30" i="12" s="1"/>
  <c r="O31" i="12" l="1"/>
  <c r="J31" i="12" s="1"/>
  <c r="O32" i="12" l="1"/>
  <c r="J32" i="12" s="1"/>
  <c r="O33" i="12" l="1"/>
  <c r="J33" i="12" s="1"/>
  <c r="O34" i="12" l="1"/>
  <c r="J34" i="12" s="1"/>
  <c r="O35" i="12" l="1"/>
  <c r="J35" i="12" s="1"/>
  <c r="O36" i="12" l="1"/>
  <c r="J36" i="12" s="1"/>
  <c r="O37" i="12" l="1"/>
  <c r="J37" i="12" s="1"/>
  <c r="O38" i="12" l="1"/>
  <c r="J38" i="12" s="1"/>
  <c r="O39" i="12" l="1"/>
  <c r="J39" i="12" s="1"/>
  <c r="Q42" i="12" l="1"/>
  <c r="O40" i="12"/>
  <c r="J40" i="12" s="1"/>
  <c r="I7" i="12" l="1"/>
  <c r="Q44" i="12"/>
  <c r="E29" i="1" s="1"/>
  <c r="Q10" i="13"/>
  <c r="Q11" i="13" s="1"/>
  <c r="Q12" i="13" s="1"/>
  <c r="Q13" i="13" s="1"/>
  <c r="Q14" i="13" s="1"/>
  <c r="Q15" i="13" s="1"/>
  <c r="Q16" i="13" s="1"/>
  <c r="Q17" i="13" s="1"/>
  <c r="Q18" i="13" s="1"/>
  <c r="Q19" i="13" s="1"/>
  <c r="Q20" i="13" s="1"/>
  <c r="Q21" i="13" s="1"/>
  <c r="Q22" i="13" s="1"/>
  <c r="Q23" i="13" s="1"/>
  <c r="Q24" i="13" s="1"/>
  <c r="Q25" i="13" s="1"/>
  <c r="Q26" i="13" s="1"/>
  <c r="Q27" i="13" s="1"/>
  <c r="Q28" i="13" s="1"/>
  <c r="Q29" i="13" s="1"/>
  <c r="Q30" i="13" s="1"/>
  <c r="Q31" i="13" s="1"/>
  <c r="Q32" i="13" s="1"/>
  <c r="Q33" i="13" s="1"/>
  <c r="Q34" i="13" s="1"/>
  <c r="Q35" i="13" s="1"/>
  <c r="Q36" i="13" s="1"/>
  <c r="Q37" i="13" s="1"/>
  <c r="Q38" i="13" s="1"/>
  <c r="Q39" i="13" s="1"/>
  <c r="Q40" i="13" s="1"/>
  <c r="Q41" i="13" s="1"/>
  <c r="P42" i="12"/>
  <c r="I46" i="12" s="1"/>
  <c r="J46" i="12" s="1"/>
  <c r="O41" i="12" l="1"/>
  <c r="J41" i="12" s="1"/>
  <c r="M42" i="12"/>
  <c r="L43" i="12" s="1"/>
  <c r="B29" i="1"/>
  <c r="D29" i="1" s="1"/>
  <c r="I48" i="12"/>
  <c r="C29" i="1" l="1"/>
  <c r="J48" i="12"/>
  <c r="I45" i="13" l="1"/>
  <c r="J45" i="13" s="1"/>
  <c r="O11" i="13"/>
  <c r="J11" i="13" s="1"/>
  <c r="O12" i="13"/>
  <c r="J12" i="13" s="1"/>
  <c r="O13" i="13" l="1"/>
  <c r="J13" i="13" s="1"/>
  <c r="O14" i="13" l="1"/>
  <c r="J14" i="13" s="1"/>
  <c r="O15" i="13" l="1"/>
  <c r="J15" i="13" s="1"/>
  <c r="O17" i="13" l="1"/>
  <c r="J17" i="13" s="1"/>
  <c r="O16" i="13"/>
  <c r="J16" i="13" s="1"/>
  <c r="O18" i="13" l="1"/>
  <c r="J18" i="13" s="1"/>
  <c r="O19" i="13" l="1"/>
  <c r="J19" i="13" s="1"/>
  <c r="O20" i="13" l="1"/>
  <c r="J20" i="13" s="1"/>
  <c r="O21" i="13" l="1"/>
  <c r="J21" i="13" s="1"/>
  <c r="O22" i="13" l="1"/>
  <c r="J22" i="13" s="1"/>
  <c r="O23" i="13" l="1"/>
  <c r="J23" i="13" s="1"/>
  <c r="O24" i="13" l="1"/>
  <c r="J24" i="13" s="1"/>
  <c r="O25" i="13" l="1"/>
  <c r="J25" i="13" s="1"/>
  <c r="O26" i="13" l="1"/>
  <c r="J26" i="13" s="1"/>
  <c r="O27" i="13" l="1"/>
  <c r="J27" i="13" s="1"/>
  <c r="O28" i="13" l="1"/>
  <c r="J28" i="13" s="1"/>
  <c r="O29" i="13" l="1"/>
  <c r="J29" i="13" s="1"/>
  <c r="O30" i="13" l="1"/>
  <c r="J30" i="13" s="1"/>
  <c r="O31" i="13" l="1"/>
  <c r="J31" i="13" s="1"/>
  <c r="O32" i="13" l="1"/>
  <c r="J32" i="13" s="1"/>
  <c r="O33" i="13" l="1"/>
  <c r="J33" i="13" s="1"/>
  <c r="O34" i="13" l="1"/>
  <c r="J34" i="13" s="1"/>
  <c r="O35" i="13" l="1"/>
  <c r="J35" i="13" s="1"/>
  <c r="O36" i="13" l="1"/>
  <c r="J36" i="13" s="1"/>
  <c r="O37" i="13" l="1"/>
  <c r="J37" i="13" s="1"/>
  <c r="O38" i="13" l="1"/>
  <c r="J38" i="13" s="1"/>
  <c r="O39" i="13" l="1"/>
  <c r="J39" i="13" s="1"/>
  <c r="Q42" i="13" l="1"/>
  <c r="O40" i="13"/>
  <c r="J40" i="13" s="1"/>
  <c r="I7" i="13" l="1"/>
  <c r="Q44" i="13"/>
  <c r="E30" i="1" s="1"/>
  <c r="E31" i="1" s="1"/>
  <c r="P42" i="13"/>
  <c r="I46" i="13" s="1"/>
  <c r="J46" i="13" s="1"/>
  <c r="O41" i="13" l="1"/>
  <c r="J41" i="13" s="1"/>
  <c r="M42" i="13"/>
  <c r="L43" i="13" s="1"/>
  <c r="B30" i="1"/>
  <c r="D30" i="1" s="1"/>
  <c r="I48" i="13"/>
  <c r="J48" i="13" s="1"/>
  <c r="C30" i="1" l="1"/>
  <c r="C31" i="1" s="1"/>
  <c r="B31" i="1"/>
  <c r="D31" i="1" l="1"/>
</calcChain>
</file>

<file path=xl/comments1.xml><?xml version="1.0" encoding="utf-8"?>
<comments xmlns="http://schemas.openxmlformats.org/spreadsheetml/2006/main">
  <authors>
    <author>WF</author>
  </authors>
  <commentList>
    <comment ref="Q1" authorId="0">
      <text>
        <r>
          <rPr>
            <b/>
            <sz val="8"/>
            <color indexed="81"/>
            <rFont val="Tahoma"/>
            <family val="2"/>
          </rPr>
          <t>Tag - Punkt - Monat - (Punkt)
Der letzte Punkt ist nicht nötig.
Keine Jahreszahl - stört aber nicht.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V1" authorId="0">
      <text>
        <r>
          <rPr>
            <b/>
            <sz val="8"/>
            <color indexed="81"/>
            <rFont val="Tahoma"/>
            <family val="2"/>
          </rPr>
          <t>vierstellige Jahreszahl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<sst xmlns="http://schemas.openxmlformats.org/spreadsheetml/2006/main" count="701" uniqueCount="110">
  <si>
    <t>Zeiterfassungsbogen für studentische Hilfskräfte</t>
  </si>
  <si>
    <t>Deckblatt</t>
  </si>
  <si>
    <t>Name:</t>
  </si>
  <si>
    <t>Struktureinheit:</t>
  </si>
  <si>
    <t>Jahr</t>
  </si>
  <si>
    <t>Übertrag (h)</t>
  </si>
  <si>
    <t>Anmerkungen</t>
  </si>
  <si>
    <t>Monat:</t>
  </si>
  <si>
    <t>Wochenarbeitszeit (h)</t>
  </si>
  <si>
    <t>Januar</t>
  </si>
  <si>
    <t>Tag</t>
  </si>
  <si>
    <t>+ Überstunden des Vormonats:</t>
  </si>
  <si>
    <t>- Monatssollarbeitszeit:</t>
  </si>
  <si>
    <t>Unterschrift des Beschäftigten:</t>
  </si>
  <si>
    <t>Unterschrift des Verantwortlichen Leiters: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</si>
  <si>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</si>
  <si>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</si>
  <si>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</si>
  <si>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</si>
  <si>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</si>
  <si>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</si>
  <si>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</si>
  <si>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</si>
  <si>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</si>
  <si>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</si>
  <si>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</si>
  <si>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Ostersonntage am</t>
  </si>
  <si>
    <t>31.3</t>
  </si>
  <si>
    <t>Tabelle: 1750 - 2400</t>
  </si>
  <si>
    <t>im Jahre</t>
  </si>
  <si>
    <t>Bandbreite: 22.03. - 25.04.</t>
  </si>
  <si>
    <t>Karfreitag</t>
  </si>
  <si>
    <t>Ostersonntag</t>
  </si>
  <si>
    <t>Ostermontag</t>
  </si>
  <si>
    <t>Pfingstsonntag</t>
  </si>
  <si>
    <t>Pfingstmontag</t>
  </si>
  <si>
    <t>Deutsche Einheit</t>
  </si>
  <si>
    <t>Reformationstag</t>
  </si>
  <si>
    <t>Heiligabend</t>
  </si>
  <si>
    <t>1. Weihnachtsfeiertag</t>
  </si>
  <si>
    <t>2. Weihnachtsfeiertag</t>
  </si>
  <si>
    <t>Silvester</t>
  </si>
  <si>
    <t>Neujahr</t>
  </si>
  <si>
    <t>Beginn</t>
  </si>
  <si>
    <t>Ende</t>
  </si>
  <si>
    <t>Struktureinheit</t>
  </si>
  <si>
    <t>Christi Himmelfahrt</t>
  </si>
  <si>
    <t>Tag der Arbeit</t>
  </si>
  <si>
    <t>Vertragslaufzeit Beginn:</t>
  </si>
  <si>
    <t>Vertragslaufzeit Ende:</t>
  </si>
  <si>
    <t>Dauer:</t>
  </si>
  <si>
    <t>Stunden</t>
  </si>
  <si>
    <t>Monate:</t>
  </si>
  <si>
    <t>Urlaub:</t>
  </si>
  <si>
    <t>Stunden neu:</t>
  </si>
  <si>
    <t>Gesamt:</t>
  </si>
  <si>
    <t>Vertrag</t>
  </si>
  <si>
    <t>Urlaub</t>
  </si>
  <si>
    <t>Urlaubsrest</t>
  </si>
  <si>
    <t>M</t>
  </si>
  <si>
    <t>Zusammenfassung</t>
  </si>
  <si>
    <t>Soll</t>
  </si>
  <si>
    <t>IST</t>
  </si>
  <si>
    <t xml:space="preserve"> +/-</t>
  </si>
  <si>
    <t>Übertrag aus Vormonat</t>
  </si>
  <si>
    <r>
      <t>Urlaub Bitte im Feld</t>
    </r>
    <r>
      <rPr>
        <b/>
        <sz val="10"/>
        <rFont val="Calibri"/>
        <family val="2"/>
      </rPr>
      <t xml:space="preserve"> Bermerkungen</t>
    </r>
    <r>
      <rPr>
        <sz val="10"/>
        <rFont val="Calibri"/>
        <family val="2"/>
      </rPr>
      <t xml:space="preserve"> mit</t>
    </r>
    <r>
      <rPr>
        <b/>
        <sz val="10"/>
        <rFont val="Calibri"/>
        <family val="2"/>
      </rPr>
      <t xml:space="preserve"> Urlaub</t>
    </r>
    <r>
      <rPr>
        <sz val="10"/>
        <rFont val="Calibri"/>
        <family val="2"/>
      </rPr>
      <t xml:space="preserve"> für jeden einzelnen Tag eintragen, die Stunden werden automatisch der IST-Zeit zugeschlagen! Gleiches gilt für Krankheit, dort dann bitte </t>
    </r>
    <r>
      <rPr>
        <b/>
        <sz val="10"/>
        <rFont val="Calibri"/>
        <family val="2"/>
      </rPr>
      <t xml:space="preserve">Krank </t>
    </r>
    <r>
      <rPr>
        <sz val="10"/>
        <rFont val="Calibri"/>
        <family val="2"/>
      </rPr>
      <t>eintragen! (Bitte immer Anfangsbuchstabe groß schreiben!)</t>
    </r>
  </si>
  <si>
    <r>
      <t xml:space="preserve">Bemerkungen </t>
    </r>
    <r>
      <rPr>
        <b/>
        <sz val="10"/>
        <color indexed="10"/>
        <rFont val="Calibri"/>
        <family val="2"/>
      </rPr>
      <t xml:space="preserve">(Urlaub mit </t>
    </r>
    <r>
      <rPr>
        <b/>
        <i/>
        <sz val="10"/>
        <color indexed="10"/>
        <rFont val="Calibri"/>
        <family val="2"/>
      </rPr>
      <t>Urlaub</t>
    </r>
    <r>
      <rPr>
        <b/>
        <sz val="10"/>
        <color indexed="10"/>
        <rFont val="Calibri"/>
        <family val="2"/>
      </rPr>
      <t xml:space="preserve"> und Krankheit mit </t>
    </r>
    <r>
      <rPr>
        <b/>
        <i/>
        <sz val="10"/>
        <color indexed="10"/>
        <rFont val="Calibri"/>
        <family val="2"/>
      </rPr>
      <t>Krank</t>
    </r>
    <r>
      <rPr>
        <b/>
        <sz val="10"/>
        <color indexed="10"/>
        <rFont val="Calibri"/>
        <family val="2"/>
      </rPr>
      <t>eintragen)</t>
    </r>
  </si>
  <si>
    <t>Arbeitszeit</t>
  </si>
  <si>
    <t>Saldo:</t>
  </si>
  <si>
    <t>Wöchentliche Arbeitszeit</t>
  </si>
  <si>
    <t>Wöchentliche Arbeitstage</t>
  </si>
  <si>
    <t>Montag</t>
  </si>
  <si>
    <t>Dienstag</t>
  </si>
  <si>
    <t>Mittwoch</t>
  </si>
  <si>
    <t>Donnerstag</t>
  </si>
  <si>
    <t>Freitag</t>
  </si>
  <si>
    <t>Bei fester Vereinbarung der Arbeitstage und Stunden, diese bitte hier eintragen. Bei Veränderungen dann bitte im jeweiligen Monat diese Angaben ändern. Wenn keine festen Tage vereinbart sind, bitte offen lassen.</t>
  </si>
  <si>
    <t>Wöchentliche Stunden &amp; Arbeitstage</t>
  </si>
  <si>
    <t>wenn keine festen Tage mehr gelten sollen, hier bitte "nein" eintragen!</t>
  </si>
  <si>
    <t>Summe der Arbeitszeit</t>
  </si>
  <si>
    <t>Mehr- oder Minderarbeitzeit</t>
  </si>
  <si>
    <t>Mehr/
Minder</t>
  </si>
  <si>
    <t>Gesamt</t>
  </si>
  <si>
    <t>Differenz</t>
  </si>
  <si>
    <t>Real</t>
  </si>
  <si>
    <t>Monat</t>
  </si>
  <si>
    <t>Änderungen</t>
  </si>
  <si>
    <t>Beginn:</t>
  </si>
  <si>
    <t>Ende:</t>
  </si>
  <si>
    <t>Mehr 1</t>
  </si>
  <si>
    <t>Mehr 3</t>
  </si>
  <si>
    <t>Mehr 2</t>
  </si>
  <si>
    <t>Änderung im laufenden Monat</t>
  </si>
  <si>
    <t>Mo</t>
  </si>
  <si>
    <t>Di</t>
  </si>
  <si>
    <t>Mi</t>
  </si>
  <si>
    <t>Do</t>
  </si>
  <si>
    <t>Fr</t>
  </si>
  <si>
    <t>bis 14.</t>
  </si>
  <si>
    <t>ab 15.</t>
  </si>
  <si>
    <t>Projekt
Stunden</t>
  </si>
  <si>
    <t>Rest</t>
  </si>
  <si>
    <t>Stunden für:</t>
  </si>
  <si>
    <t>Projekt</t>
  </si>
  <si>
    <t>Regulär</t>
  </si>
  <si>
    <t>Anteilige h/Woche gesondertes Projekt ab/bis:</t>
  </si>
  <si>
    <t>Bitte bachten:</t>
  </si>
  <si>
    <t>Vertragsende zur Mitte des Monats immer zum 14.
Beginn zur Mitte des Monats immer zum 15.</t>
  </si>
  <si>
    <t>Es werden automatisch 30 Minuten Pause bei einer täglichen Arbeitszeit ab 6 Stunden berechnet.</t>
  </si>
  <si>
    <t xml:space="preserve">D2 / IO 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</si>
</sst>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m"/>
    <numFmt numFmtId="165" formatCode="h:mm;@"/>
    <numFmt numFmtId="166" formatCode="d/m;@"/>
  </numFmts>
  <fonts count="36" x14ac:knownFonts="1">
    <font>
      <sz val="10"/>
      <name val="Arial"/>
      <family val="2"/>
    </font>
    <font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indexed="12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10"/>
      <name val="Calibri"/>
      <family val="2"/>
    </font>
    <font>
      <b/>
      <i/>
      <sz val="10"/>
      <color indexed="10"/>
      <name val="Calibri"/>
      <family val="2"/>
    </font>
    <font>
      <sz val="10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indexed="12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i/>
      <sz val="8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8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9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hair">
        <color indexed="8"/>
      </top>
      <bottom style="medium">
        <color indexed="64"/>
      </bottom>
      <diagonal/>
    </border>
    <border>
      <left/>
      <right/>
      <top style="hair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hair">
        <color indexed="8"/>
      </bottom>
      <diagonal/>
    </border>
    <border>
      <left/>
      <right/>
      <top style="medium">
        <color indexed="64"/>
      </top>
      <bottom style="hair">
        <color indexed="8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theme="0"/>
      </left>
      <right/>
      <top/>
      <bottom style="hair">
        <color auto="1"/>
      </bottom>
      <diagonal/>
    </border>
    <border>
      <left style="thick">
        <color theme="0"/>
      </left>
      <right style="thick">
        <color theme="0"/>
      </right>
      <top/>
      <bottom style="hair">
        <color auto="1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hair">
        <color indexed="8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96">
    <xf numFmtId="0" fontId="0" fillId="0" borderId="0" xfId="0"/>
    <xf numFmtId="0" fontId="9" fillId="0" borderId="0" xfId="0" applyFont="1"/>
    <xf numFmtId="14" fontId="9" fillId="0" borderId="0" xfId="0" applyNumberFormat="1" applyFont="1"/>
    <xf numFmtId="0" fontId="10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14" fontId="12" fillId="0" borderId="0" xfId="0" applyNumberFormat="1" applyFont="1" applyAlignment="1">
      <alignment horizontal="right" vertical="center"/>
    </xf>
    <xf numFmtId="1" fontId="10" fillId="0" borderId="0" xfId="0" applyNumberFormat="1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49" fontId="10" fillId="2" borderId="0" xfId="0" applyNumberFormat="1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13" fillId="0" borderId="0" xfId="1" applyFont="1" applyAlignment="1" applyProtection="1">
      <alignment horizontal="center"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/>
    </xf>
    <xf numFmtId="0" fontId="9" fillId="0" borderId="0" xfId="0" applyFont="1" applyFill="1"/>
    <xf numFmtId="0" fontId="11" fillId="0" borderId="0" xfId="0" applyFont="1"/>
    <xf numFmtId="14" fontId="12" fillId="0" borderId="0" xfId="0" applyNumberFormat="1" applyFont="1" applyAlignment="1">
      <alignment horizontal="right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9" fillId="0" borderId="0" xfId="0" quotePrefix="1" applyFont="1" applyAlignment="1">
      <alignment horizontal="center"/>
    </xf>
    <xf numFmtId="0" fontId="9" fillId="0" borderId="0" xfId="0" applyFont="1" applyFill="1" applyProtection="1">
      <protection locked="0"/>
    </xf>
    <xf numFmtId="14" fontId="10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4" fontId="9" fillId="0" borderId="0" xfId="0" applyNumberFormat="1" applyFont="1" applyAlignment="1">
      <alignment vertical="center" wrapText="1"/>
    </xf>
    <xf numFmtId="14" fontId="15" fillId="0" borderId="0" xfId="0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5" fillId="0" borderId="0" xfId="0" quotePrefix="1" applyFont="1" applyAlignment="1">
      <alignment horizontal="center"/>
    </xf>
    <xf numFmtId="14" fontId="9" fillId="0" borderId="0" xfId="0" applyNumberFormat="1" applyFont="1" applyAlignment="1">
      <alignment horizontal="center"/>
    </xf>
    <xf numFmtId="14" fontId="16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right"/>
    </xf>
    <xf numFmtId="0" fontId="9" fillId="0" borderId="0" xfId="0" applyNumberFormat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14" fontId="15" fillId="0" borderId="0" xfId="0" applyNumberFormat="1" applyFont="1" applyAlignment="1">
      <alignment horizontal="right" vertical="center" wrapText="1"/>
    </xf>
    <xf numFmtId="14" fontId="15" fillId="0" borderId="0" xfId="0" applyNumberFormat="1" applyFont="1" applyAlignment="1">
      <alignment horizontal="right"/>
    </xf>
    <xf numFmtId="164" fontId="0" fillId="0" borderId="0" xfId="0" applyNumberFormat="1"/>
    <xf numFmtId="0" fontId="17" fillId="3" borderId="0" xfId="0" applyFont="1" applyFill="1" applyAlignment="1">
      <alignment horizontal="left"/>
    </xf>
    <xf numFmtId="0" fontId="9" fillId="3" borderId="0" xfId="0" applyFont="1" applyFill="1"/>
    <xf numFmtId="0" fontId="9" fillId="3" borderId="1" xfId="0" applyFont="1" applyFill="1" applyBorder="1" applyAlignment="1">
      <alignment horizontal="left"/>
    </xf>
    <xf numFmtId="0" fontId="9" fillId="3" borderId="6" xfId="0" applyFont="1" applyFill="1" applyBorder="1"/>
    <xf numFmtId="0" fontId="9" fillId="3" borderId="2" xfId="0" applyFont="1" applyFill="1" applyBorder="1"/>
    <xf numFmtId="0" fontId="9" fillId="3" borderId="1" xfId="0" applyFont="1" applyFill="1" applyBorder="1"/>
    <xf numFmtId="17" fontId="9" fillId="3" borderId="4" xfId="0" applyNumberFormat="1" applyFont="1" applyFill="1" applyBorder="1" applyAlignment="1">
      <alignment horizontal="left"/>
    </xf>
    <xf numFmtId="0" fontId="18" fillId="3" borderId="7" xfId="0" applyFont="1" applyFill="1" applyBorder="1" applyAlignment="1">
      <alignment horizontal="left"/>
    </xf>
    <xf numFmtId="0" fontId="19" fillId="3" borderId="7" xfId="0" applyNumberFormat="1" applyFont="1" applyFill="1" applyBorder="1" applyAlignment="1">
      <alignment horizontal="left"/>
    </xf>
    <xf numFmtId="0" fontId="18" fillId="3" borderId="3" xfId="0" applyFont="1" applyFill="1" applyBorder="1" applyAlignment="1">
      <alignment horizontal="left"/>
    </xf>
    <xf numFmtId="16" fontId="15" fillId="0" borderId="0" xfId="0" applyNumberFormat="1" applyFont="1"/>
    <xf numFmtId="0" fontId="18" fillId="4" borderId="13" xfId="0" applyFont="1" applyFill="1" applyBorder="1" applyAlignment="1">
      <alignment horizontal="left"/>
    </xf>
    <xf numFmtId="0" fontId="18" fillId="4" borderId="3" xfId="0" applyFont="1" applyFill="1" applyBorder="1" applyAlignment="1">
      <alignment horizontal="left"/>
    </xf>
    <xf numFmtId="0" fontId="18" fillId="4" borderId="14" xfId="0" applyFont="1" applyFill="1" applyBorder="1" applyAlignment="1">
      <alignment horizontal="left"/>
    </xf>
    <xf numFmtId="14" fontId="18" fillId="4" borderId="0" xfId="0" applyNumberFormat="1" applyFont="1" applyFill="1" applyBorder="1" applyAlignment="1">
      <alignment horizontal="center"/>
    </xf>
    <xf numFmtId="14" fontId="18" fillId="4" borderId="0" xfId="0" applyNumberFormat="1" applyFont="1" applyFill="1" applyAlignment="1">
      <alignment horizontal="center"/>
    </xf>
    <xf numFmtId="0" fontId="18" fillId="4" borderId="15" xfId="0" applyFont="1" applyFill="1" applyBorder="1"/>
    <xf numFmtId="0" fontId="18" fillId="4" borderId="16" xfId="0" applyFont="1" applyFill="1" applyBorder="1" applyAlignment="1">
      <alignment horizontal="left"/>
    </xf>
    <xf numFmtId="0" fontId="18" fillId="4" borderId="5" xfId="0" applyFont="1" applyFill="1" applyBorder="1"/>
    <xf numFmtId="14" fontId="18" fillId="4" borderId="2" xfId="0" applyNumberFormat="1" applyFont="1" applyFill="1" applyBorder="1" applyAlignment="1">
      <alignment horizontal="center"/>
    </xf>
    <xf numFmtId="14" fontId="18" fillId="4" borderId="4" xfId="0" applyNumberFormat="1" applyFont="1" applyFill="1" applyBorder="1" applyAlignment="1">
      <alignment horizontal="center"/>
    </xf>
    <xf numFmtId="2" fontId="9" fillId="0" borderId="0" xfId="0" applyNumberFormat="1" applyFont="1"/>
    <xf numFmtId="0" fontId="9" fillId="3" borderId="0" xfId="0" applyFont="1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3" borderId="11" xfId="0" applyFont="1" applyFill="1" applyBorder="1" applyAlignment="1">
      <alignment horizontal="left"/>
    </xf>
    <xf numFmtId="0" fontId="9" fillId="3" borderId="12" xfId="0" applyFont="1" applyFill="1" applyBorder="1"/>
    <xf numFmtId="0" fontId="18" fillId="3" borderId="17" xfId="0" applyFont="1" applyFill="1" applyBorder="1" applyAlignment="1">
      <alignment horizontal="left"/>
    </xf>
    <xf numFmtId="0" fontId="18" fillId="3" borderId="18" xfId="0" applyFont="1" applyFill="1" applyBorder="1" applyAlignment="1">
      <alignment horizontal="left"/>
    </xf>
    <xf numFmtId="0" fontId="18" fillId="3" borderId="19" xfId="0" applyFont="1" applyFill="1" applyBorder="1"/>
    <xf numFmtId="0" fontId="18" fillId="3" borderId="0" xfId="0" applyFont="1" applyFill="1" applyBorder="1" applyAlignment="1">
      <alignment horizontal="left"/>
    </xf>
    <xf numFmtId="0" fontId="18" fillId="3" borderId="0" xfId="0" applyFont="1" applyFill="1"/>
    <xf numFmtId="0" fontId="9" fillId="3" borderId="0" xfId="0" applyFont="1" applyFill="1" applyBorder="1"/>
    <xf numFmtId="0" fontId="9" fillId="3" borderId="4" xfId="0" applyFont="1" applyFill="1" applyBorder="1" applyAlignment="1">
      <alignment horizontal="left"/>
    </xf>
    <xf numFmtId="0" fontId="9" fillId="3" borderId="0" xfId="0" applyFont="1" applyFill="1" applyAlignment="1">
      <alignment horizontal="right"/>
    </xf>
    <xf numFmtId="0" fontId="9" fillId="3" borderId="20" xfId="0" applyFont="1" applyFill="1" applyBorder="1"/>
    <xf numFmtId="0" fontId="9" fillId="3" borderId="21" xfId="0" applyFont="1" applyFill="1" applyBorder="1"/>
    <xf numFmtId="0" fontId="9" fillId="3" borderId="22" xfId="0" applyFont="1" applyFill="1" applyBorder="1"/>
    <xf numFmtId="0" fontId="18" fillId="0" borderId="9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wrapText="1"/>
    </xf>
    <xf numFmtId="0" fontId="22" fillId="3" borderId="0" xfId="0" applyFont="1" applyFill="1"/>
    <xf numFmtId="0" fontId="9" fillId="3" borderId="4" xfId="0" applyFont="1" applyFill="1" applyBorder="1" applyAlignment="1">
      <alignment horizontal="right"/>
    </xf>
    <xf numFmtId="0" fontId="18" fillId="3" borderId="3" xfId="0" applyFont="1" applyFill="1" applyBorder="1" applyAlignment="1">
      <alignment horizontal="left"/>
    </xf>
    <xf numFmtId="0" fontId="18" fillId="3" borderId="7" xfId="0" applyFont="1" applyFill="1" applyBorder="1" applyAlignment="1">
      <alignment horizontal="left"/>
    </xf>
    <xf numFmtId="0" fontId="9" fillId="4" borderId="26" xfId="0" applyFont="1" applyFill="1" applyBorder="1"/>
    <xf numFmtId="0" fontId="9" fillId="4" borderId="27" xfId="0" applyFont="1" applyFill="1" applyBorder="1"/>
    <xf numFmtId="0" fontId="17" fillId="3" borderId="0" xfId="0" applyFont="1" applyFill="1"/>
    <xf numFmtId="0" fontId="9" fillId="4" borderId="28" xfId="0" applyFont="1" applyFill="1" applyBorder="1"/>
    <xf numFmtId="0" fontId="9" fillId="3" borderId="0" xfId="0" applyNumberFormat="1" applyFont="1" applyFill="1"/>
    <xf numFmtId="2" fontId="9" fillId="3" borderId="0" xfId="0" applyNumberFormat="1" applyFont="1" applyFill="1"/>
    <xf numFmtId="0" fontId="18" fillId="3" borderId="8" xfId="0" applyFont="1" applyFill="1" applyBorder="1"/>
    <xf numFmtId="165" fontId="18" fillId="3" borderId="8" xfId="0" applyNumberFormat="1" applyFont="1" applyFill="1" applyBorder="1" applyAlignment="1">
      <alignment horizontal="right"/>
    </xf>
    <xf numFmtId="0" fontId="9" fillId="3" borderId="4" xfId="0" applyNumberFormat="1" applyFont="1" applyFill="1" applyBorder="1"/>
    <xf numFmtId="0" fontId="9" fillId="3" borderId="0" xfId="0" applyFont="1" applyFill="1" applyAlignment="1">
      <alignment wrapText="1"/>
    </xf>
    <xf numFmtId="0" fontId="23" fillId="3" borderId="8" xfId="0" applyFont="1" applyFill="1" applyBorder="1"/>
    <xf numFmtId="0" fontId="23" fillId="3" borderId="8" xfId="0" applyNumberFormat="1" applyFont="1" applyFill="1" applyBorder="1"/>
    <xf numFmtId="0" fontId="18" fillId="0" borderId="30" xfId="0" applyFont="1" applyBorder="1" applyAlignment="1">
      <alignment horizontal="center" wrapText="1"/>
    </xf>
    <xf numFmtId="0" fontId="9" fillId="3" borderId="29" xfId="0" applyFont="1" applyFill="1" applyBorder="1" applyAlignment="1">
      <alignment horizontal="center"/>
    </xf>
    <xf numFmtId="0" fontId="23" fillId="3" borderId="31" xfId="0" applyFont="1" applyFill="1" applyBorder="1"/>
    <xf numFmtId="0" fontId="18" fillId="3" borderId="31" xfId="0" applyFont="1" applyFill="1" applyBorder="1"/>
    <xf numFmtId="0" fontId="9" fillId="4" borderId="0" xfId="0" applyFont="1" applyFill="1"/>
    <xf numFmtId="0" fontId="24" fillId="6" borderId="0" xfId="0" applyFont="1" applyFill="1"/>
    <xf numFmtId="20" fontId="9" fillId="3" borderId="33" xfId="0" applyNumberFormat="1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4" fontId="9" fillId="3" borderId="20" xfId="0" applyNumberFormat="1" applyFont="1" applyFill="1" applyBorder="1" applyAlignment="1">
      <alignment horizontal="right"/>
    </xf>
    <xf numFmtId="4" fontId="9" fillId="3" borderId="20" xfId="0" applyNumberFormat="1" applyFont="1" applyFill="1" applyBorder="1"/>
    <xf numFmtId="4" fontId="9" fillId="3" borderId="21" xfId="0" applyNumberFormat="1" applyFont="1" applyFill="1" applyBorder="1" applyAlignment="1">
      <alignment horizontal="right"/>
    </xf>
    <xf numFmtId="4" fontId="9" fillId="3" borderId="21" xfId="0" applyNumberFormat="1" applyFont="1" applyFill="1" applyBorder="1"/>
    <xf numFmtId="4" fontId="9" fillId="3" borderId="22" xfId="0" applyNumberFormat="1" applyFont="1" applyFill="1" applyBorder="1" applyAlignment="1">
      <alignment horizontal="right"/>
    </xf>
    <xf numFmtId="4" fontId="9" fillId="3" borderId="22" xfId="0" applyNumberFormat="1" applyFont="1" applyFill="1" applyBorder="1"/>
    <xf numFmtId="4" fontId="9" fillId="3" borderId="0" xfId="0" applyNumberFormat="1" applyFont="1" applyFill="1"/>
    <xf numFmtId="1" fontId="9" fillId="3" borderId="0" xfId="0" applyNumberFormat="1" applyFont="1" applyFill="1"/>
    <xf numFmtId="165" fontId="9" fillId="3" borderId="0" xfId="0" applyNumberFormat="1" applyFont="1" applyFill="1" applyAlignment="1">
      <alignment horizontal="right"/>
    </xf>
    <xf numFmtId="165" fontId="9" fillId="3" borderId="0" xfId="0" applyNumberFormat="1" applyFont="1" applyFill="1" applyBorder="1" applyAlignment="1">
      <alignment horizontal="right"/>
    </xf>
    <xf numFmtId="0" fontId="9" fillId="4" borderId="0" xfId="0" applyNumberFormat="1" applyFont="1" applyFill="1"/>
    <xf numFmtId="0" fontId="22" fillId="3" borderId="0" xfId="0" applyNumberFormat="1" applyFont="1" applyFill="1"/>
    <xf numFmtId="0" fontId="9" fillId="3" borderId="2" xfId="0" applyFont="1" applyFill="1" applyBorder="1" applyAlignment="1">
      <alignment horizontal="left"/>
    </xf>
    <xf numFmtId="0" fontId="9" fillId="3" borderId="0" xfId="0" applyNumberFormat="1" applyFont="1" applyFill="1" applyAlignment="1">
      <alignment horizontal="right"/>
    </xf>
    <xf numFmtId="0" fontId="9" fillId="0" borderId="0" xfId="0" applyNumberFormat="1" applyFont="1" applyAlignment="1">
      <alignment horizontal="right"/>
    </xf>
    <xf numFmtId="0" fontId="26" fillId="3" borderId="0" xfId="0" applyNumberFormat="1" applyFont="1" applyFill="1" applyAlignment="1">
      <alignment horizontal="right" wrapText="1"/>
    </xf>
    <xf numFmtId="2" fontId="26" fillId="3" borderId="0" xfId="0" applyNumberFormat="1" applyFont="1" applyFill="1" applyAlignment="1">
      <alignment horizontal="right" wrapText="1"/>
    </xf>
    <xf numFmtId="14" fontId="9" fillId="3" borderId="0" xfId="0" applyNumberFormat="1" applyFont="1" applyFill="1"/>
    <xf numFmtId="0" fontId="26" fillId="3" borderId="0" xfId="0" applyFont="1" applyFill="1" applyAlignment="1">
      <alignment horizontal="right" wrapText="1"/>
    </xf>
    <xf numFmtId="1" fontId="26" fillId="3" borderId="0" xfId="0" applyNumberFormat="1" applyFont="1" applyFill="1" applyAlignment="1">
      <alignment horizontal="right" wrapText="1"/>
    </xf>
    <xf numFmtId="20" fontId="5" fillId="0" borderId="32" xfId="0" applyNumberFormat="1" applyFont="1" applyFill="1" applyBorder="1" applyAlignment="1">
      <alignment horizontal="center"/>
    </xf>
    <xf numFmtId="1" fontId="25" fillId="3" borderId="34" xfId="0" applyNumberFormat="1" applyFont="1" applyFill="1" applyBorder="1" applyAlignment="1">
      <alignment horizontal="right"/>
    </xf>
    <xf numFmtId="0" fontId="25" fillId="3" borderId="35" xfId="0" applyNumberFormat="1" applyFont="1" applyFill="1" applyBorder="1" applyAlignment="1">
      <alignment horizontal="right"/>
    </xf>
    <xf numFmtId="165" fontId="25" fillId="3" borderId="35" xfId="0" applyNumberFormat="1" applyFont="1" applyFill="1" applyBorder="1" applyAlignment="1">
      <alignment horizontal="right"/>
    </xf>
    <xf numFmtId="2" fontId="25" fillId="3" borderId="35" xfId="0" applyNumberFormat="1" applyFont="1" applyFill="1" applyBorder="1" applyAlignment="1">
      <alignment horizontal="right"/>
    </xf>
    <xf numFmtId="1" fontId="25" fillId="3" borderId="36" xfId="0" applyNumberFormat="1" applyFont="1" applyFill="1" applyBorder="1" applyAlignment="1">
      <alignment horizontal="right"/>
    </xf>
    <xf numFmtId="0" fontId="25" fillId="3" borderId="37" xfId="0" applyNumberFormat="1" applyFont="1" applyFill="1" applyBorder="1" applyAlignment="1">
      <alignment horizontal="right"/>
    </xf>
    <xf numFmtId="165" fontId="25" fillId="3" borderId="37" xfId="0" applyNumberFormat="1" applyFont="1" applyFill="1" applyBorder="1" applyAlignment="1">
      <alignment horizontal="right"/>
    </xf>
    <xf numFmtId="2" fontId="25" fillId="3" borderId="37" xfId="0" applyNumberFormat="1" applyFont="1" applyFill="1" applyBorder="1" applyAlignment="1">
      <alignment horizontal="right"/>
    </xf>
    <xf numFmtId="1" fontId="25" fillId="3" borderId="38" xfId="0" applyNumberFormat="1" applyFont="1" applyFill="1" applyBorder="1" applyAlignment="1">
      <alignment horizontal="right"/>
    </xf>
    <xf numFmtId="0" fontId="25" fillId="3" borderId="39" xfId="0" applyNumberFormat="1" applyFont="1" applyFill="1" applyBorder="1" applyAlignment="1">
      <alignment horizontal="right"/>
    </xf>
    <xf numFmtId="165" fontId="25" fillId="3" borderId="39" xfId="0" applyNumberFormat="1" applyFont="1" applyFill="1" applyBorder="1" applyAlignment="1">
      <alignment horizontal="right"/>
    </xf>
    <xf numFmtId="2" fontId="25" fillId="3" borderId="39" xfId="0" applyNumberFormat="1" applyFont="1" applyFill="1" applyBorder="1" applyAlignment="1">
      <alignment horizontal="right"/>
    </xf>
    <xf numFmtId="1" fontId="25" fillId="3" borderId="0" xfId="0" applyNumberFormat="1" applyFont="1" applyFill="1" applyBorder="1"/>
    <xf numFmtId="0" fontId="25" fillId="3" borderId="0" xfId="0" applyNumberFormat="1" applyFont="1" applyFill="1"/>
    <xf numFmtId="0" fontId="25" fillId="3" borderId="0" xfId="0" applyNumberFormat="1" applyFont="1" applyFill="1" applyAlignment="1">
      <alignment horizontal="right"/>
    </xf>
    <xf numFmtId="2" fontId="25" fillId="3" borderId="0" xfId="0" applyNumberFormat="1" applyFont="1" applyFill="1"/>
    <xf numFmtId="0" fontId="25" fillId="3" borderId="0" xfId="0" applyFont="1" applyFill="1"/>
    <xf numFmtId="0" fontId="27" fillId="3" borderId="0" xfId="0" applyFont="1" applyFill="1" applyAlignment="1">
      <alignment horizontal="right"/>
    </xf>
    <xf numFmtId="0" fontId="18" fillId="3" borderId="0" xfId="0" applyFont="1" applyFill="1" applyAlignment="1">
      <alignment horizontal="left"/>
    </xf>
    <xf numFmtId="0" fontId="18" fillId="3" borderId="40" xfId="0" applyFont="1" applyFill="1" applyBorder="1" applyAlignment="1">
      <alignment horizontal="left"/>
    </xf>
    <xf numFmtId="0" fontId="9" fillId="3" borderId="41" xfId="0" applyFont="1" applyFill="1" applyBorder="1" applyAlignment="1">
      <alignment horizontal="center"/>
    </xf>
    <xf numFmtId="0" fontId="9" fillId="3" borderId="41" xfId="0" applyFont="1" applyFill="1" applyBorder="1" applyAlignment="1">
      <alignment horizontal="left"/>
    </xf>
    <xf numFmtId="0" fontId="9" fillId="3" borderId="42" xfId="0" applyFont="1" applyFill="1" applyBorder="1"/>
    <xf numFmtId="0" fontId="9" fillId="3" borderId="43" xfId="0" applyFont="1" applyFill="1" applyBorder="1"/>
    <xf numFmtId="0" fontId="18" fillId="3" borderId="44" xfId="0" applyFont="1" applyFill="1" applyBorder="1"/>
    <xf numFmtId="0" fontId="9" fillId="3" borderId="45" xfId="0" applyFont="1" applyFill="1" applyBorder="1"/>
    <xf numFmtId="0" fontId="18" fillId="4" borderId="46" xfId="0" applyFont="1" applyFill="1" applyBorder="1"/>
    <xf numFmtId="0" fontId="9" fillId="3" borderId="47" xfId="0" applyFont="1" applyFill="1" applyBorder="1"/>
    <xf numFmtId="14" fontId="18" fillId="4" borderId="48" xfId="0" applyNumberFormat="1" applyFont="1" applyFill="1" applyBorder="1" applyAlignment="1">
      <alignment horizontal="center"/>
    </xf>
    <xf numFmtId="0" fontId="9" fillId="3" borderId="48" xfId="0" applyFont="1" applyFill="1" applyBorder="1" applyAlignment="1">
      <alignment horizontal="left"/>
    </xf>
    <xf numFmtId="0" fontId="18" fillId="4" borderId="49" xfId="0" applyFont="1" applyFill="1" applyBorder="1"/>
    <xf numFmtId="1" fontId="25" fillId="3" borderId="50" xfId="0" applyNumberFormat="1" applyFont="1" applyFill="1" applyBorder="1" applyAlignment="1">
      <alignment horizontal="right"/>
    </xf>
    <xf numFmtId="0" fontId="25" fillId="3" borderId="51" xfId="0" applyNumberFormat="1" applyFont="1" applyFill="1" applyBorder="1" applyAlignment="1">
      <alignment horizontal="right"/>
    </xf>
    <xf numFmtId="165" fontId="25" fillId="3" borderId="51" xfId="0" applyNumberFormat="1" applyFont="1" applyFill="1" applyBorder="1" applyAlignment="1">
      <alignment horizontal="right"/>
    </xf>
    <xf numFmtId="2" fontId="25" fillId="3" borderId="51" xfId="0" applyNumberFormat="1" applyFont="1" applyFill="1" applyBorder="1" applyAlignment="1">
      <alignment horizontal="right"/>
    </xf>
    <xf numFmtId="0" fontId="29" fillId="3" borderId="0" xfId="0" applyFont="1" applyFill="1"/>
    <xf numFmtId="1" fontId="25" fillId="3" borderId="52" xfId="0" applyNumberFormat="1" applyFont="1" applyFill="1" applyBorder="1" applyAlignment="1">
      <alignment horizontal="right"/>
    </xf>
    <xf numFmtId="0" fontId="25" fillId="3" borderId="53" xfId="0" applyNumberFormat="1" applyFont="1" applyFill="1" applyBorder="1" applyAlignment="1">
      <alignment horizontal="right"/>
    </xf>
    <xf numFmtId="165" fontId="25" fillId="3" borderId="53" xfId="0" applyNumberFormat="1" applyFont="1" applyFill="1" applyBorder="1" applyAlignment="1">
      <alignment horizontal="right"/>
    </xf>
    <xf numFmtId="2" fontId="25" fillId="3" borderId="53" xfId="0" applyNumberFormat="1" applyFont="1" applyFill="1" applyBorder="1" applyAlignment="1">
      <alignment horizontal="right"/>
    </xf>
    <xf numFmtId="17" fontId="18" fillId="3" borderId="4" xfId="0" applyNumberFormat="1" applyFont="1" applyFill="1" applyBorder="1" applyAlignment="1">
      <alignment horizontal="left"/>
    </xf>
    <xf numFmtId="0" fontId="22" fillId="3" borderId="0" xfId="0" applyFont="1" applyFill="1" applyBorder="1"/>
    <xf numFmtId="0" fontId="29" fillId="3" borderId="0" xfId="0" applyFont="1" applyFill="1" applyAlignment="1">
      <alignment horizontal="right" vertical="top"/>
    </xf>
    <xf numFmtId="0" fontId="9" fillId="3" borderId="54" xfId="0" applyFont="1" applyFill="1" applyBorder="1" applyAlignment="1">
      <alignment horizontal="center"/>
    </xf>
    <xf numFmtId="0" fontId="9" fillId="3" borderId="55" xfId="0" applyFont="1" applyFill="1" applyBorder="1" applyAlignment="1">
      <alignment horizontal="center"/>
    </xf>
    <xf numFmtId="0" fontId="9" fillId="4" borderId="57" xfId="0" applyFont="1" applyFill="1" applyBorder="1" applyAlignment="1">
      <alignment horizontal="right" indent="1"/>
    </xf>
    <xf numFmtId="0" fontId="9" fillId="4" borderId="56" xfId="0" applyFont="1" applyFill="1" applyBorder="1" applyAlignment="1">
      <alignment horizontal="right" indent="1"/>
    </xf>
    <xf numFmtId="0" fontId="9" fillId="4" borderId="58" xfId="0" applyFont="1" applyFill="1" applyBorder="1" applyAlignment="1">
      <alignment horizontal="right" indent="1"/>
    </xf>
    <xf numFmtId="0" fontId="9" fillId="4" borderId="59" xfId="0" applyFont="1" applyFill="1" applyBorder="1" applyAlignment="1">
      <alignment horizontal="right" indent="1"/>
    </xf>
    <xf numFmtId="0" fontId="9" fillId="0" borderId="54" xfId="0" applyFont="1" applyBorder="1"/>
    <xf numFmtId="0" fontId="9" fillId="0" borderId="55" xfId="0" applyFont="1" applyBorder="1"/>
    <xf numFmtId="0" fontId="9" fillId="0" borderId="60" xfId="0" applyFont="1" applyBorder="1"/>
    <xf numFmtId="0" fontId="9" fillId="0" borderId="0" xfId="0" applyFont="1" applyBorder="1"/>
    <xf numFmtId="0" fontId="9" fillId="0" borderId="61" xfId="0" applyFont="1" applyBorder="1"/>
    <xf numFmtId="0" fontId="9" fillId="0" borderId="62" xfId="0" applyFont="1" applyBorder="1"/>
    <xf numFmtId="0" fontId="9" fillId="0" borderId="63" xfId="0" applyFont="1" applyBorder="1"/>
    <xf numFmtId="0" fontId="9" fillId="0" borderId="64" xfId="0" applyFont="1" applyBorder="1"/>
    <xf numFmtId="0" fontId="9" fillId="0" borderId="65" xfId="0" applyFont="1" applyBorder="1"/>
    <xf numFmtId="0" fontId="9" fillId="0" borderId="66" xfId="0" applyFont="1" applyBorder="1"/>
    <xf numFmtId="0" fontId="9" fillId="0" borderId="67" xfId="0" applyFont="1" applyBorder="1"/>
    <xf numFmtId="0" fontId="9" fillId="0" borderId="68" xfId="0" applyFont="1" applyBorder="1"/>
    <xf numFmtId="0" fontId="30" fillId="3" borderId="0" xfId="0" applyFont="1" applyFill="1"/>
    <xf numFmtId="0" fontId="22" fillId="0" borderId="0" xfId="0" applyFont="1"/>
    <xf numFmtId="0" fontId="22" fillId="0" borderId="0" xfId="0" applyFont="1" applyAlignment="1">
      <alignment wrapText="1"/>
    </xf>
    <xf numFmtId="1" fontId="18" fillId="3" borderId="8" xfId="0" applyNumberFormat="1" applyFont="1" applyFill="1" applyBorder="1"/>
    <xf numFmtId="0" fontId="9" fillId="3" borderId="70" xfId="0" applyFont="1" applyFill="1" applyBorder="1" applyAlignment="1">
      <alignment horizontal="right"/>
    </xf>
    <xf numFmtId="0" fontId="9" fillId="3" borderId="71" xfId="0" applyFont="1" applyFill="1" applyBorder="1" applyAlignment="1">
      <alignment horizontal="right"/>
    </xf>
    <xf numFmtId="0" fontId="9" fillId="3" borderId="72" xfId="0" applyFont="1" applyFill="1" applyBorder="1" applyAlignment="1">
      <alignment horizontal="center"/>
    </xf>
    <xf numFmtId="0" fontId="9" fillId="3" borderId="73" xfId="0" applyFont="1" applyFill="1" applyBorder="1" applyAlignment="1">
      <alignment horizontal="center"/>
    </xf>
    <xf numFmtId="0" fontId="20" fillId="3" borderId="73" xfId="0" applyFont="1" applyFill="1" applyBorder="1"/>
    <xf numFmtId="0" fontId="20" fillId="3" borderId="73" xfId="0" applyNumberFormat="1" applyFont="1" applyFill="1" applyBorder="1"/>
    <xf numFmtId="0" fontId="9" fillId="3" borderId="73" xfId="0" applyNumberFormat="1" applyFont="1" applyFill="1" applyBorder="1"/>
    <xf numFmtId="20" fontId="9" fillId="3" borderId="73" xfId="0" applyNumberFormat="1" applyFont="1" applyFill="1" applyBorder="1" applyAlignment="1">
      <alignment horizontal="center"/>
    </xf>
    <xf numFmtId="0" fontId="9" fillId="3" borderId="75" xfId="0" applyFont="1" applyFill="1" applyBorder="1" applyAlignment="1">
      <alignment horizontal="center"/>
    </xf>
    <xf numFmtId="0" fontId="20" fillId="3" borderId="29" xfId="0" applyFont="1" applyFill="1" applyBorder="1"/>
    <xf numFmtId="0" fontId="20" fillId="3" borderId="29" xfId="0" applyNumberFormat="1" applyFont="1" applyFill="1" applyBorder="1"/>
    <xf numFmtId="0" fontId="9" fillId="3" borderId="33" xfId="0" applyNumberFormat="1" applyFont="1" applyFill="1" applyBorder="1"/>
    <xf numFmtId="0" fontId="9" fillId="3" borderId="76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20" fillId="3" borderId="14" xfId="0" applyFont="1" applyFill="1" applyBorder="1"/>
    <xf numFmtId="0" fontId="20" fillId="3" borderId="14" xfId="0" applyNumberFormat="1" applyFont="1" applyFill="1" applyBorder="1"/>
    <xf numFmtId="0" fontId="9" fillId="3" borderId="77" xfId="0" applyNumberFormat="1" applyFont="1" applyFill="1" applyBorder="1"/>
    <xf numFmtId="20" fontId="9" fillId="3" borderId="77" xfId="0" applyNumberFormat="1" applyFont="1" applyFill="1" applyBorder="1" applyAlignment="1">
      <alignment horizontal="center"/>
    </xf>
    <xf numFmtId="20" fontId="9" fillId="3" borderId="78" xfId="0" applyNumberFormat="1" applyFont="1" applyFill="1" applyBorder="1" applyAlignment="1">
      <alignment horizontal="center"/>
    </xf>
    <xf numFmtId="20" fontId="5" fillId="0" borderId="79" xfId="0" applyNumberFormat="1" applyFont="1" applyFill="1" applyBorder="1" applyAlignment="1">
      <alignment horizontal="center"/>
    </xf>
    <xf numFmtId="20" fontId="9" fillId="3" borderId="80" xfId="0" applyNumberFormat="1" applyFont="1" applyFill="1" applyBorder="1" applyAlignment="1">
      <alignment horizontal="center"/>
    </xf>
    <xf numFmtId="0" fontId="9" fillId="3" borderId="80" xfId="0" applyFont="1" applyFill="1" applyBorder="1" applyAlignment="1">
      <alignment horizontal="center"/>
    </xf>
    <xf numFmtId="20" fontId="9" fillId="3" borderId="81" xfId="0" applyNumberFormat="1" applyFont="1" applyFill="1" applyBorder="1" applyAlignment="1">
      <alignment horizontal="center"/>
    </xf>
    <xf numFmtId="0" fontId="9" fillId="3" borderId="82" xfId="0" applyFont="1" applyFill="1" applyBorder="1"/>
    <xf numFmtId="0" fontId="9" fillId="3" borderId="83" xfId="0" applyFont="1" applyFill="1" applyBorder="1"/>
    <xf numFmtId="0" fontId="9" fillId="3" borderId="84" xfId="0" applyFont="1" applyFill="1" applyBorder="1"/>
    <xf numFmtId="0" fontId="9" fillId="5" borderId="72" xfId="0" applyFont="1" applyFill="1" applyBorder="1" applyAlignment="1">
      <alignment horizontal="right"/>
    </xf>
    <xf numFmtId="165" fontId="9" fillId="5" borderId="74" xfId="0" applyNumberFormat="1" applyFont="1" applyFill="1" applyBorder="1" applyAlignment="1">
      <alignment horizontal="right"/>
    </xf>
    <xf numFmtId="0" fontId="9" fillId="5" borderId="75" xfId="0" applyFont="1" applyFill="1" applyBorder="1" applyAlignment="1">
      <alignment horizontal="right"/>
    </xf>
    <xf numFmtId="165" fontId="9" fillId="5" borderId="85" xfId="0" applyNumberFormat="1" applyFont="1" applyFill="1" applyBorder="1" applyAlignment="1">
      <alignment horizontal="right"/>
    </xf>
    <xf numFmtId="0" fontId="9" fillId="5" borderId="76" xfId="0" applyFont="1" applyFill="1" applyBorder="1" applyAlignment="1">
      <alignment horizontal="right"/>
    </xf>
    <xf numFmtId="165" fontId="9" fillId="5" borderId="5" xfId="0" applyNumberFormat="1" applyFont="1" applyFill="1" applyBorder="1" applyAlignment="1">
      <alignment horizontal="right"/>
    </xf>
    <xf numFmtId="0" fontId="9" fillId="3" borderId="86" xfId="0" applyFont="1" applyFill="1" applyBorder="1"/>
    <xf numFmtId="0" fontId="18" fillId="3" borderId="87" xfId="0" applyFont="1" applyFill="1" applyBorder="1" applyAlignment="1">
      <alignment horizontal="left"/>
    </xf>
    <xf numFmtId="0" fontId="9" fillId="3" borderId="87" xfId="0" applyFont="1" applyFill="1" applyBorder="1" applyAlignment="1">
      <alignment horizontal="left"/>
    </xf>
    <xf numFmtId="20" fontId="9" fillId="3" borderId="88" xfId="0" applyNumberFormat="1" applyFont="1" applyFill="1" applyBorder="1" applyAlignment="1">
      <alignment horizontal="center"/>
    </xf>
    <xf numFmtId="0" fontId="9" fillId="3" borderId="89" xfId="0" applyFont="1" applyFill="1" applyBorder="1" applyAlignment="1">
      <alignment horizontal="center"/>
    </xf>
    <xf numFmtId="20" fontId="9" fillId="3" borderId="29" xfId="0" applyNumberFormat="1" applyFont="1" applyFill="1" applyBorder="1" applyAlignment="1">
      <alignment horizontal="center"/>
    </xf>
    <xf numFmtId="0" fontId="9" fillId="3" borderId="90" xfId="0" applyFont="1" applyFill="1" applyBorder="1"/>
    <xf numFmtId="2" fontId="26" fillId="5" borderId="25" xfId="0" applyNumberFormat="1" applyFont="1" applyFill="1" applyBorder="1" applyAlignment="1">
      <alignment horizontal="right" wrapText="1"/>
    </xf>
    <xf numFmtId="2" fontId="26" fillId="5" borderId="24" xfId="0" applyNumberFormat="1" applyFont="1" applyFill="1" applyBorder="1" applyAlignment="1">
      <alignment horizontal="right" wrapText="1"/>
    </xf>
    <xf numFmtId="0" fontId="26" fillId="3" borderId="0" xfId="0" applyFont="1" applyFill="1"/>
    <xf numFmtId="2" fontId="9" fillId="3" borderId="0" xfId="0" applyNumberFormat="1" applyFont="1" applyFill="1" applyBorder="1" applyAlignment="1">
      <alignment horizontal="left" indent="1"/>
    </xf>
    <xf numFmtId="0" fontId="18" fillId="4" borderId="0" xfId="0" applyFont="1" applyFill="1" applyAlignment="1">
      <alignment horizontal="center"/>
    </xf>
    <xf numFmtId="0" fontId="25" fillId="5" borderId="91" xfId="0" applyNumberFormat="1" applyFont="1" applyFill="1" applyBorder="1" applyAlignment="1">
      <alignment horizontal="right"/>
    </xf>
    <xf numFmtId="0" fontId="25" fillId="5" borderId="92" xfId="0" applyNumberFormat="1" applyFont="1" applyFill="1" applyBorder="1" applyAlignment="1">
      <alignment horizontal="right"/>
    </xf>
    <xf numFmtId="0" fontId="25" fillId="5" borderId="93" xfId="0" applyNumberFormat="1" applyFont="1" applyFill="1" applyBorder="1" applyAlignment="1">
      <alignment horizontal="right"/>
    </xf>
    <xf numFmtId="0" fontId="25" fillId="5" borderId="0" xfId="0" applyNumberFormat="1" applyFont="1" applyFill="1"/>
    <xf numFmtId="0" fontId="9" fillId="5" borderId="0" xfId="0" applyNumberFormat="1" applyFont="1" applyFill="1"/>
    <xf numFmtId="2" fontId="9" fillId="3" borderId="0" xfId="0" applyNumberFormat="1" applyFont="1" applyFill="1" applyBorder="1" applyAlignment="1">
      <alignment wrapText="1"/>
    </xf>
    <xf numFmtId="2" fontId="9" fillId="3" borderId="4" xfId="0" applyNumberFormat="1" applyFont="1" applyFill="1" applyBorder="1" applyAlignment="1"/>
    <xf numFmtId="2" fontId="18" fillId="3" borderId="0" xfId="0" applyNumberFormat="1" applyFont="1" applyFill="1" applyBorder="1" applyAlignment="1">
      <alignment wrapText="1"/>
    </xf>
    <xf numFmtId="2" fontId="18" fillId="3" borderId="0" xfId="0" applyNumberFormat="1" applyFont="1" applyFill="1" applyBorder="1" applyAlignment="1"/>
    <xf numFmtId="0" fontId="25" fillId="3" borderId="91" xfId="0" applyNumberFormat="1" applyFont="1" applyFill="1" applyBorder="1" applyAlignment="1">
      <alignment horizontal="right"/>
    </xf>
    <xf numFmtId="0" fontId="25" fillId="3" borderId="92" xfId="0" applyNumberFormat="1" applyFont="1" applyFill="1" applyBorder="1" applyAlignment="1">
      <alignment horizontal="right"/>
    </xf>
    <xf numFmtId="0" fontId="25" fillId="3" borderId="93" xfId="0" applyNumberFormat="1" applyFont="1" applyFill="1" applyBorder="1" applyAlignment="1">
      <alignment horizontal="right"/>
    </xf>
    <xf numFmtId="0" fontId="9" fillId="3" borderId="3" xfId="0" applyNumberFormat="1" applyFont="1" applyFill="1" applyBorder="1" applyAlignment="1">
      <alignment wrapText="1"/>
    </xf>
    <xf numFmtId="0" fontId="9" fillId="3" borderId="7" xfId="0" applyNumberFormat="1" applyFont="1" applyFill="1" applyBorder="1" applyAlignment="1">
      <alignment wrapText="1"/>
    </xf>
    <xf numFmtId="0" fontId="9" fillId="3" borderId="25" xfId="0" applyNumberFormat="1" applyFont="1" applyFill="1" applyBorder="1" applyAlignment="1">
      <alignment wrapText="1"/>
    </xf>
    <xf numFmtId="0" fontId="9" fillId="3" borderId="24" xfId="0" applyNumberFormat="1" applyFont="1" applyFill="1" applyBorder="1" applyAlignment="1">
      <alignment wrapText="1"/>
    </xf>
    <xf numFmtId="0" fontId="21" fillId="5" borderId="25" xfId="0" applyFont="1" applyFill="1" applyBorder="1" applyAlignment="1">
      <alignment wrapText="1"/>
    </xf>
    <xf numFmtId="0" fontId="21" fillId="5" borderId="24" xfId="0" applyFont="1" applyFill="1" applyBorder="1" applyAlignment="1">
      <alignment wrapText="1"/>
    </xf>
    <xf numFmtId="2" fontId="29" fillId="3" borderId="1" xfId="0" applyNumberFormat="1" applyFont="1" applyFill="1" applyBorder="1" applyAlignment="1">
      <alignment horizontal="right" wrapText="1"/>
    </xf>
    <xf numFmtId="2" fontId="29" fillId="3" borderId="6" xfId="0" applyNumberFormat="1" applyFont="1" applyFill="1" applyBorder="1" applyAlignment="1">
      <alignment horizontal="right" wrapText="1"/>
    </xf>
    <xf numFmtId="0" fontId="9" fillId="5" borderId="54" xfId="0" applyNumberFormat="1" applyFont="1" applyFill="1" applyBorder="1"/>
    <xf numFmtId="166" fontId="9" fillId="4" borderId="25" xfId="0" applyNumberFormat="1" applyFont="1" applyFill="1" applyBorder="1" applyAlignment="1"/>
    <xf numFmtId="166" fontId="9" fillId="4" borderId="69" xfId="0" applyNumberFormat="1" applyFont="1" applyFill="1" applyBorder="1" applyAlignment="1"/>
    <xf numFmtId="0" fontId="22" fillId="3" borderId="0" xfId="0" applyNumberFormat="1" applyFont="1" applyFill="1" applyAlignment="1">
      <alignment horizontal="right"/>
    </xf>
    <xf numFmtId="0" fontId="16" fillId="3" borderId="87" xfId="0" applyFont="1" applyFill="1" applyBorder="1" applyAlignment="1">
      <alignment horizontal="left"/>
    </xf>
    <xf numFmtId="0" fontId="33" fillId="3" borderId="0" xfId="0" applyFont="1" applyFill="1"/>
    <xf numFmtId="0" fontId="34" fillId="3" borderId="0" xfId="0" applyFont="1" applyFill="1" applyBorder="1" applyAlignment="1">
      <alignment horizontal="left"/>
    </xf>
    <xf numFmtId="0" fontId="34" fillId="3" borderId="0" xfId="0" applyFont="1" applyFill="1" applyAlignment="1">
      <alignment horizontal="left"/>
    </xf>
    <xf numFmtId="165" fontId="9" fillId="3" borderId="0" xfId="0" applyNumberFormat="1" applyFont="1" applyFill="1" applyBorder="1"/>
    <xf numFmtId="0" fontId="34" fillId="0" borderId="0" xfId="0" applyFont="1"/>
    <xf numFmtId="0" fontId="34" fillId="3" borderId="0" xfId="0" applyFont="1" applyFill="1"/>
    <xf numFmtId="165" fontId="23" fillId="3" borderId="8" xfId="0" applyNumberFormat="1" applyFont="1" applyFill="1" applyBorder="1" applyAlignment="1">
      <alignment horizontal="right"/>
    </xf>
    <xf numFmtId="165" fontId="23" fillId="3" borderId="8" xfId="0" applyNumberFormat="1" applyFont="1" applyFill="1" applyBorder="1"/>
    <xf numFmtId="17" fontId="18" fillId="3" borderId="4" xfId="0" applyNumberFormat="1" applyFont="1" applyFill="1" applyBorder="1" applyAlignment="1">
      <alignment horizontal="left"/>
    </xf>
    <xf numFmtId="0" fontId="9" fillId="3" borderId="0" xfId="0" applyFont="1" applyFill="1" applyAlignment="1">
      <alignment horizontal="left" vertical="top" wrapText="1"/>
    </xf>
    <xf numFmtId="0" fontId="9" fillId="6" borderId="0" xfId="0" applyFont="1" applyFill="1" applyAlignment="1">
      <alignment horizontal="left" vertical="top" wrapText="1"/>
    </xf>
    <xf numFmtId="0" fontId="27" fillId="3" borderId="0" xfId="0" applyFont="1" applyFill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32" fillId="3" borderId="0" xfId="0" applyFont="1" applyFill="1" applyAlignment="1">
      <alignment horizontal="left" vertical="top" wrapText="1"/>
    </xf>
    <xf numFmtId="0" fontId="28" fillId="3" borderId="0" xfId="0" applyFont="1" applyFill="1" applyAlignment="1">
      <alignment horizontal="left" vertical="center" wrapText="1"/>
    </xf>
    <xf numFmtId="0" fontId="31" fillId="4" borderId="4" xfId="0" applyFont="1" applyFill="1" applyBorder="1" applyAlignment="1">
      <alignment horizontal="left"/>
    </xf>
    <xf numFmtId="0" fontId="31" fillId="4" borderId="7" xfId="0" applyFont="1" applyFill="1" applyBorder="1" applyAlignment="1">
      <alignment horizontal="left"/>
    </xf>
    <xf numFmtId="0" fontId="26" fillId="3" borderId="2" xfId="0" applyFont="1" applyFill="1" applyBorder="1" applyAlignment="1">
      <alignment horizontal="center"/>
    </xf>
    <xf numFmtId="0" fontId="26" fillId="3" borderId="6" xfId="0" applyFont="1" applyFill="1" applyBorder="1" applyAlignment="1">
      <alignment horizontal="center"/>
    </xf>
    <xf numFmtId="0" fontId="28" fillId="3" borderId="0" xfId="0" applyFont="1" applyFill="1" applyAlignment="1">
      <alignment horizontal="left" wrapText="1"/>
    </xf>
    <xf numFmtId="0" fontId="18" fillId="3" borderId="3" xfId="0" applyFont="1" applyFill="1" applyBorder="1" applyAlignment="1">
      <alignment horizontal="left"/>
    </xf>
    <xf numFmtId="0" fontId="18" fillId="3" borderId="4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left"/>
    </xf>
    <xf numFmtId="17" fontId="18" fillId="3" borderId="3" xfId="0" applyNumberFormat="1" applyFont="1" applyFill="1" applyBorder="1" applyAlignment="1">
      <alignment horizontal="left"/>
    </xf>
    <xf numFmtId="17" fontId="18" fillId="3" borderId="4" xfId="0" applyNumberFormat="1" applyFont="1" applyFill="1" applyBorder="1" applyAlignment="1">
      <alignment horizontal="left"/>
    </xf>
    <xf numFmtId="0" fontId="9" fillId="5" borderId="25" xfId="0" applyFont="1" applyFill="1" applyBorder="1" applyAlignment="1">
      <alignment horizontal="center"/>
    </xf>
    <xf numFmtId="0" fontId="9" fillId="5" borderId="24" xfId="0" applyFont="1" applyFill="1" applyBorder="1" applyAlignment="1">
      <alignment horizontal="center"/>
    </xf>
    <xf numFmtId="0" fontId="18" fillId="3" borderId="7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0" fontId="18" fillId="3" borderId="3" xfId="0" applyNumberFormat="1" applyFont="1" applyFill="1" applyBorder="1" applyAlignment="1">
      <alignment horizontal="left"/>
    </xf>
    <xf numFmtId="0" fontId="18" fillId="3" borderId="4" xfId="0" applyNumberFormat="1" applyFont="1" applyFill="1" applyBorder="1" applyAlignment="1">
      <alignment horizontal="left"/>
    </xf>
    <xf numFmtId="0" fontId="27" fillId="3" borderId="0" xfId="0" applyFont="1" applyFill="1" applyAlignment="1">
      <alignment horizontal="center" vertical="center" wrapText="1"/>
    </xf>
    <xf numFmtId="0" fontId="35" fillId="3" borderId="0" xfId="0" applyFont="1" applyFill="1"/>
  </cellXfs>
  <cellStyles count="3">
    <cellStyle name="Hyperlink" xfId="1" builtinId="8"/>
    <cellStyle name="Standard" xfId="0" builtinId="0"/>
    <cellStyle name="Standard 2" xfId="2"/>
  </cellStyles>
  <dxfs count="233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numFmt numFmtId="0" formatCode="General"/>
    </dxf>
    <dxf>
      <font>
        <b/>
        <i val="0"/>
        <color rgb="FFFF0000"/>
      </font>
      <numFmt numFmtId="0" formatCode="General"/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ont>
        <b/>
        <i val="0"/>
        <color rgb="FFFF0000"/>
      </font>
      <numFmt numFmtId="0" formatCode="General"/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5" tint="-0.24994659260841701"/>
      </font>
    </dxf>
    <dxf>
      <font>
        <color theme="0"/>
      </font>
    </dxf>
    <dxf>
      <font>
        <color theme="0"/>
      </font>
    </dxf>
    <dxf>
      <font>
        <color theme="5" tint="-0.499984740745262"/>
      </font>
      <fill>
        <patternFill>
          <bgColor theme="5" tint="0.59996337778862885"/>
        </patternFill>
      </fill>
    </dxf>
    <dxf>
      <font>
        <color theme="6" tint="-0.499984740745262"/>
      </font>
      <fill>
        <patternFill>
          <bgColor theme="6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</dxfs>
  <tableStyles count="0" defaultTableStyle="TableStyleMedium9" defaultPivotStyle="PivotStyleLight16"/>
  <colors>
    <mruColors>
      <color rgb="FFFFCC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BN43"/>
  <sheetViews>
    <sheetView workbookViewId="0">
      <selection activeCell="B38" sqref="B38"/>
    </sheetView>
  </sheetViews>
  <sheetFormatPr baseColWidth="10" defaultRowHeight="12.75" x14ac:dyDescent="0.2"/>
  <cols>
    <col min="1" max="1" width="21.7109375" style="1" customWidth="1"/>
    <col min="2" max="2" width="11.7109375" style="1" customWidth="1"/>
    <col min="3" max="3" width="11" style="1" bestFit="1" customWidth="1"/>
    <col min="4" max="5" width="8.42578125" style="1" customWidth="1"/>
    <col min="6" max="6" width="10.7109375" style="1" customWidth="1"/>
    <col min="7" max="7" width="14.5703125" style="1" customWidth="1"/>
    <col min="8" max="10" width="11.42578125" style="1" hidden="1" customWidth="1"/>
    <col min="11" max="11" width="3" style="1" hidden="1" customWidth="1"/>
    <col min="12" max="13" width="5" style="1" hidden="1" customWidth="1"/>
    <col min="14" max="15" width="6" style="1" hidden="1" customWidth="1"/>
    <col min="16" max="16" width="3" style="1" hidden="1" customWidth="1"/>
    <col min="17" max="17" width="4" style="1" hidden="1" customWidth="1"/>
    <col min="18" max="21" width="6" style="1" hidden="1" customWidth="1"/>
    <col min="22" max="23" width="3" style="1" hidden="1" customWidth="1"/>
    <col min="24" max="27" width="6" style="1" hidden="1" customWidth="1"/>
    <col min="28" max="29" width="3" style="1" hidden="1" customWidth="1"/>
    <col min="30" max="33" width="6" style="1" hidden="1" customWidth="1"/>
    <col min="34" max="34" width="3" style="1" hidden="1" customWidth="1"/>
    <col min="35" max="35" width="5" style="1" hidden="1" customWidth="1"/>
    <col min="36" max="38" width="7.28515625" style="1" hidden="1" customWidth="1"/>
    <col min="39" max="39" width="5.140625" style="1" hidden="1" customWidth="1"/>
    <col min="40" max="41" width="4" style="1" hidden="1" customWidth="1"/>
    <col min="42" max="46" width="3" style="1" hidden="1" customWidth="1"/>
    <col min="47" max="48" width="11.42578125" style="1" hidden="1" customWidth="1"/>
    <col min="49" max="49" width="6.140625" style="1" hidden="1" customWidth="1"/>
    <col min="50" max="50" width="5.5703125" style="1" hidden="1" customWidth="1"/>
    <col min="51" max="51" width="5.42578125" style="1" hidden="1" customWidth="1"/>
    <col min="52" max="52" width="7.7109375" style="1" hidden="1" customWidth="1"/>
    <col min="53" max="53" width="11.42578125" style="1" hidden="1" customWidth="1"/>
    <col min="54" max="54" width="3" style="1" hidden="1" customWidth="1"/>
    <col min="55" max="64" width="3.7109375" style="1" hidden="1" customWidth="1"/>
    <col min="65" max="65" width="2" style="1" hidden="1" customWidth="1"/>
    <col min="66" max="66" width="3" style="1" hidden="1" customWidth="1"/>
    <col min="67" max="67" width="0" style="1" hidden="1" customWidth="1"/>
    <col min="68" max="16384" width="11.42578125" style="1"/>
  </cols>
  <sheetData>
    <row r="1" spans="1:66" ht="15.75" x14ac:dyDescent="0.25">
      <c r="A1" s="39" t="s">
        <v>0</v>
      </c>
      <c r="B1" s="61"/>
      <c r="C1" s="62"/>
      <c r="D1" s="40"/>
      <c r="E1" s="40"/>
      <c r="F1" s="40"/>
      <c r="G1" s="40"/>
      <c r="AW1" s="143" t="s">
        <v>85</v>
      </c>
      <c r="AX1" s="271" t="s">
        <v>51</v>
      </c>
      <c r="AY1" s="271"/>
      <c r="AZ1" s="72" t="s">
        <v>57</v>
      </c>
      <c r="BA1" s="40"/>
      <c r="BB1" s="40"/>
      <c r="BC1" s="272" t="s">
        <v>98</v>
      </c>
      <c r="BD1" s="273"/>
      <c r="BE1" s="273"/>
      <c r="BF1" s="273"/>
      <c r="BG1" s="274"/>
      <c r="BH1" s="272" t="s">
        <v>99</v>
      </c>
      <c r="BI1" s="273"/>
      <c r="BJ1" s="273"/>
      <c r="BK1" s="273"/>
      <c r="BL1" s="274"/>
    </row>
    <row r="2" spans="1:66" ht="15.75" x14ac:dyDescent="0.25">
      <c r="A2" s="39" t="s">
        <v>1</v>
      </c>
      <c r="B2" s="61"/>
      <c r="C2" s="62"/>
      <c r="D2" s="40"/>
      <c r="E2" s="40"/>
      <c r="F2" s="40"/>
      <c r="G2" s="40"/>
      <c r="AX2" s="168" t="s">
        <v>98</v>
      </c>
      <c r="AY2" s="168" t="s">
        <v>99</v>
      </c>
      <c r="BA2" s="40"/>
      <c r="BB2" s="40"/>
      <c r="BC2" s="177" t="s">
        <v>93</v>
      </c>
      <c r="BD2" s="178" t="s">
        <v>94</v>
      </c>
      <c r="BE2" s="178" t="s">
        <v>95</v>
      </c>
      <c r="BF2" s="178" t="s">
        <v>96</v>
      </c>
      <c r="BG2" s="179" t="s">
        <v>97</v>
      </c>
      <c r="BH2" s="177" t="s">
        <v>93</v>
      </c>
      <c r="BI2" s="178" t="s">
        <v>94</v>
      </c>
      <c r="BJ2" s="178" t="s">
        <v>95</v>
      </c>
      <c r="BK2" s="178" t="s">
        <v>96</v>
      </c>
      <c r="BL2" s="179" t="s">
        <v>97</v>
      </c>
    </row>
    <row r="3" spans="1:66" x14ac:dyDescent="0.2">
      <c r="A3" s="62"/>
      <c r="B3" s="61"/>
      <c r="C3" s="62"/>
      <c r="D3" s="40"/>
      <c r="E3" s="40"/>
      <c r="F3" s="40"/>
      <c r="G3" s="40"/>
      <c r="L3" s="1">
        <v>1</v>
      </c>
      <c r="M3" s="1">
        <v>1.5</v>
      </c>
      <c r="N3" s="1">
        <v>2</v>
      </c>
      <c r="O3" s="1">
        <v>2.5</v>
      </c>
      <c r="P3" s="1">
        <v>3</v>
      </c>
      <c r="Q3" s="1">
        <v>3.5</v>
      </c>
      <c r="R3" s="1">
        <v>4</v>
      </c>
      <c r="S3" s="1">
        <v>4.5</v>
      </c>
      <c r="T3" s="1">
        <v>5</v>
      </c>
      <c r="U3" s="1">
        <v>5.5</v>
      </c>
      <c r="V3" s="1">
        <v>6</v>
      </c>
      <c r="W3" s="1">
        <v>6.5</v>
      </c>
      <c r="X3" s="1">
        <v>7</v>
      </c>
      <c r="Y3" s="1">
        <v>7.5</v>
      </c>
      <c r="Z3" s="1">
        <v>8</v>
      </c>
      <c r="AA3" s="1">
        <v>8.5</v>
      </c>
      <c r="AB3" s="1">
        <v>9</v>
      </c>
      <c r="AC3" s="1">
        <v>9.5</v>
      </c>
      <c r="AD3" s="1">
        <v>10</v>
      </c>
      <c r="AE3" s="1">
        <v>10.5</v>
      </c>
      <c r="AF3" s="1">
        <v>11</v>
      </c>
      <c r="AG3" s="1">
        <v>11.5</v>
      </c>
      <c r="AH3" s="1">
        <v>12</v>
      </c>
      <c r="AW3" s="169">
        <v>1</v>
      </c>
      <c r="AX3" s="171">
        <f>SUMIFS($AP$5:$AP$28,$AI$5:$AI$28,AW3)</f>
        <v>0</v>
      </c>
      <c r="AY3" s="172">
        <f t="shared" ref="AY3:AY14" si="0">SUMIFS($AP$5:$AP$28,$AI$5:$AI$28,AW3+0.5)</f>
        <v>0</v>
      </c>
      <c r="AZ3" s="40" t="str">
        <f>IF(AND(B7="",B8=""),"",SUM(AV4:AV22))</f>
        <v/>
      </c>
      <c r="BA3" s="40">
        <v>1</v>
      </c>
      <c r="BB3" s="40">
        <f>SUM(BC3:BG3)</f>
        <v>0</v>
      </c>
      <c r="BC3" s="180">
        <f>IF(AX3=0,0,IF(B36="",0,B36))</f>
        <v>0</v>
      </c>
      <c r="BD3" s="175">
        <f>IF(AX3=0,0,IF(B37="",0,B37))</f>
        <v>0</v>
      </c>
      <c r="BE3" s="175">
        <f>IF(AX3=0,0,IF(B38="",0,B38))</f>
        <v>0</v>
      </c>
      <c r="BF3" s="175">
        <f>IF(AX3=0,0,IF(B39="",,B39))</f>
        <v>0</v>
      </c>
      <c r="BG3" s="181">
        <f>IF(AX3=0,0,IF(B40="",0,B40))</f>
        <v>0</v>
      </c>
      <c r="BH3" s="180">
        <f>IF(AY3=0,0,IF(AX3=AY3,0,Jan!W12))</f>
        <v>0</v>
      </c>
      <c r="BI3" s="175">
        <f>IF(AY3=0,0,IF(AX3=AY3,0,Jan!W13))</f>
        <v>0</v>
      </c>
      <c r="BJ3" s="175">
        <f>IF(AY3=0,0,IF(AY3=AX3,0,Jan!W14))</f>
        <v>0</v>
      </c>
      <c r="BK3" s="175">
        <f>IF(AY3=0,0,IF(AX3=AY3,0,Jan!W15))</f>
        <v>0</v>
      </c>
      <c r="BL3" s="181">
        <f>IF(AY3=0,0,IF(AY3=AX3,0,Jan!W16))</f>
        <v>0</v>
      </c>
      <c r="BM3" s="40">
        <v>1</v>
      </c>
      <c r="BN3" s="1">
        <f>IF(AX3=AY3,BB3,SUM(BH3:BL3))</f>
        <v>0</v>
      </c>
    </row>
    <row r="4" spans="1:66" x14ac:dyDescent="0.2">
      <c r="A4" s="63" t="s">
        <v>2</v>
      </c>
      <c r="B4" s="41" t="s">
        <v>3</v>
      </c>
      <c r="C4" s="64"/>
      <c r="D4" s="65" t="s">
        <v>4</v>
      </c>
      <c r="E4" s="66" t="s">
        <v>51</v>
      </c>
      <c r="F4" s="67" t="s">
        <v>5</v>
      </c>
      <c r="G4" s="40"/>
      <c r="K4" s="1">
        <v>1</v>
      </c>
      <c r="L4" s="1">
        <v>0.25</v>
      </c>
      <c r="M4" s="1">
        <f>((N4-L4)/2)+L4</f>
        <v>0.375</v>
      </c>
      <c r="N4" s="1">
        <v>0.5</v>
      </c>
      <c r="O4" s="1">
        <f>((P4-N4)/2)+N4</f>
        <v>0.75</v>
      </c>
      <c r="P4" s="1">
        <v>1</v>
      </c>
      <c r="Q4" s="1">
        <f>((R4-P4)/2)+P4</f>
        <v>1.125</v>
      </c>
      <c r="R4" s="1">
        <v>1.25</v>
      </c>
      <c r="S4" s="1">
        <f>((T4-R4)/2)+R4</f>
        <v>1.375</v>
      </c>
      <c r="T4" s="1">
        <v>1.5</v>
      </c>
      <c r="U4" s="1">
        <f>((V4-T4)/2)+T4</f>
        <v>1.75</v>
      </c>
      <c r="V4" s="1">
        <v>2</v>
      </c>
      <c r="W4" s="1">
        <f>((X4-V4)/2)+V4</f>
        <v>2.125</v>
      </c>
      <c r="X4" s="1">
        <v>2.25</v>
      </c>
      <c r="Y4" s="1">
        <f>((Z4-X4)/2)+X4</f>
        <v>2.375</v>
      </c>
      <c r="Z4" s="1">
        <v>2.5</v>
      </c>
      <c r="AA4" s="1">
        <f>((AB4-Z4)/2)+Z4</f>
        <v>2.75</v>
      </c>
      <c r="AB4" s="1">
        <v>3</v>
      </c>
      <c r="AC4" s="1">
        <f>((AD4-AB4)/2)+AB4</f>
        <v>3.125</v>
      </c>
      <c r="AD4" s="1">
        <v>3.25</v>
      </c>
      <c r="AE4" s="1">
        <f>((AF4-AD4)/2)+AD4</f>
        <v>3.375</v>
      </c>
      <c r="AF4" s="1">
        <v>3.5</v>
      </c>
      <c r="AG4" s="1">
        <f>((AH4-AF4)/2)+AF4</f>
        <v>3.75</v>
      </c>
      <c r="AH4" s="1">
        <v>4</v>
      </c>
      <c r="AI4" s="1" t="s">
        <v>59</v>
      </c>
      <c r="AJ4" s="1" t="s">
        <v>51</v>
      </c>
      <c r="AK4" s="1" t="s">
        <v>89</v>
      </c>
      <c r="AL4" s="1" t="s">
        <v>91</v>
      </c>
      <c r="AM4" s="1" t="s">
        <v>90</v>
      </c>
      <c r="AT4" s="1">
        <v>1</v>
      </c>
      <c r="AU4" s="1">
        <f t="shared" ref="AU4:AU12" si="1">(COUNTIFS($AY$3:$AY$14,K4)*0.5)+(COUNTIFS($AX$3:$AX$14,K4)*0.5)</f>
        <v>0</v>
      </c>
      <c r="AV4" s="1" t="str">
        <f>IF(ISNA(INDEX($L$4:$AH$22,MATCH(AT4,$K$4:$K$22,0),MATCH(AU4,$L$3:$AH$3,0))),"",INDEX($L$4:$AH$22,MATCH(AT4,$K$4:$K$22,0),MATCH(AU4,$L$3:$AH$3,0)))</f>
        <v/>
      </c>
      <c r="AW4" s="170">
        <v>2</v>
      </c>
      <c r="AX4" s="173">
        <f t="shared" ref="AX4:AX14" si="2">SUMIFS($AP$5:$AP$28,$AI$5:$AI$28,AW4)</f>
        <v>0</v>
      </c>
      <c r="AY4" s="174">
        <f t="shared" si="0"/>
        <v>0</v>
      </c>
      <c r="AZ4" s="40"/>
      <c r="BA4" s="40">
        <f>IF(AND(AX4=AX3,BC4=BC3,BD4=BD3,BE4=BE3,BF4=BF3,BG4=BG3),BA3,BA3+1)</f>
        <v>1</v>
      </c>
      <c r="BB4" s="40">
        <f t="shared" ref="BB4:BB14" si="3">SUM(BC4:BG4)</f>
        <v>0</v>
      </c>
      <c r="BC4" s="182">
        <f>IF(AX4=0,0,IF(Feb!W3&gt;0,Feb!W3,IF(AND(SUM(BH3:BL3)&gt;0,AY3=AX4),BH3,IF(AX4=AX3,BC3,IF(AND(AX3=0,AY3=0),B36,0)))))</f>
        <v>0</v>
      </c>
      <c r="BD4" s="176">
        <f>IF(AX4=0,0,IF(Feb!W4&gt;0,Feb!W4,IF(AND(SUM(BH3:BL3)&gt;0,AY3=AX4),BI3,IF(AX4=AX3,BD3,IF(AND(AX3=0,AY3=0),B37,0)))))</f>
        <v>0</v>
      </c>
      <c r="BE4" s="176">
        <f>IF(AX4=0,0,IF(Feb!W5&gt;0,Feb!W5,IF(AND(SUM(BH3:BL3)&gt;0,AY3=AX4),BJ3,IF(AX4=AX3,BE3,IF(AND(AX3=0,AY3=0),B38,0)))))</f>
        <v>0</v>
      </c>
      <c r="BF4" s="176">
        <f>IF(AX4=0,0,IF(Feb!W6&gt;0,Feb!W6,IF(AND(SUM(BH3:BL3)&gt;0,AY3=AX4),BK3,IF(AX4=AX3,BF3,IF(AND(AX3=0,AY3=0),B39,0)))))</f>
        <v>0</v>
      </c>
      <c r="BG4" s="183">
        <f>IF(AX4=0,0,IF(Feb!W7&gt;0,Feb!W7,IF(AND(SUM(BH3:BL3)&gt;0,AY3=AX4),BL3,IF(AX4=AX3,BG3,IF(AND(AX3=0,AY3=0),B40,0)))))</f>
        <v>0</v>
      </c>
      <c r="BH4" s="182">
        <f>IF(AY4=0,0,IF(Feb!W12&gt;0,Feb!W12,IF(AY4=AX4,0,IF(AND(SUM(BH3:BL3)&gt;0,AY3=AY4),BH3,IF(AY4=AX3,BC3,IF(AND(SUM(AX3:AX4)=0,AY3=0),B36,0))))))</f>
        <v>0</v>
      </c>
      <c r="BI4" s="176">
        <f>IF(AY4=0,0,IF(Feb!W13&gt;0,Feb!W13,IF(AY4=AX4,0,IF(AND(SUM(BH3:BL3)&gt;0,AY3=AY4),BI3,IF(AY4=AX3,BD3,IF(AND(SUM(AX3:AX4)=0,AY3=0),B37,0))))))</f>
        <v>0</v>
      </c>
      <c r="BJ4" s="176">
        <f>IF(AY4=0,0,IF(Feb!W14&gt;0,Feb!W14,IF(AY4=AX4,0,IF(AND(SUM(BH3:BL3)&gt;0,AY3=AY4),BJ3,IF(AY4=AX3,BE3,IF(AND(SUM(AX3:AX4)=0,AY3=0),B38,0))))))</f>
        <v>0</v>
      </c>
      <c r="BK4" s="176">
        <f>IF(AY4=0,0,IF(Feb!W15&gt;0,Feb!W15,IF(AY4=AX4,0,IF(AND(SUM(BH3:BL3)&gt;0,AY3=AY4),BK3,IF(AY4=AX3,BF3,IF(AND(SUM(AX3:AX4)=0,AY3=0),B39,0))))))</f>
        <v>0</v>
      </c>
      <c r="BL4" s="183">
        <f>IF(AY4=0,0,IF(Feb!W16&gt;0,Feb!W16,IF(AY4=AX4,0,IF(AND(SUM(BH3:BL3)&gt;0,AY3=AY4),BL3,IF(AY4=AX3,BG3,IF(AND(SUM(AX3:AX4)=0,AY3=0),B40,0))))))</f>
        <v>0</v>
      </c>
      <c r="BM4" s="40">
        <f>IF(AND(AY4=AY3,OR(BH4=BH3,BI4=BI3,BJ4=BJ3,BK4=BK3,BL4=BL3),BN4=BN3),BM3,BM3+1)</f>
        <v>1</v>
      </c>
      <c r="BN4" s="1">
        <f>IF(AX4=AY4,BB4,SUM(BH4:BL4))</f>
        <v>0</v>
      </c>
    </row>
    <row r="5" spans="1:66" x14ac:dyDescent="0.2">
      <c r="A5" s="50"/>
      <c r="B5" s="51" t="s">
        <v>109</v>
      </c>
      <c r="C5" s="55"/>
      <c r="D5" s="52">
        <v>2017</v>
      </c>
      <c r="E5" s="56"/>
      <c r="F5" s="57"/>
      <c r="G5" s="40"/>
      <c r="K5" s="1">
        <v>2</v>
      </c>
      <c r="L5" s="1">
        <v>0.5</v>
      </c>
      <c r="M5" s="1">
        <f t="shared" ref="M5:M22" si="4">((N5-L5)/2)+L5</f>
        <v>0.875</v>
      </c>
      <c r="N5" s="1">
        <v>1.25</v>
      </c>
      <c r="O5" s="1">
        <f t="shared" ref="O5:O22" si="5">((P5-N5)/2)+N5</f>
        <v>1.625</v>
      </c>
      <c r="P5" s="1">
        <v>2</v>
      </c>
      <c r="Q5" s="1">
        <f t="shared" ref="Q5:Q22" si="6">((R5-P5)/2)+P5</f>
        <v>2.25</v>
      </c>
      <c r="R5" s="1">
        <v>2.5</v>
      </c>
      <c r="S5" s="1">
        <f t="shared" ref="S5:S22" si="7">((T5-R5)/2)+R5</f>
        <v>2.875</v>
      </c>
      <c r="T5" s="1">
        <v>3.25</v>
      </c>
      <c r="U5" s="1">
        <f t="shared" ref="U5:U22" si="8">((V5-T5)/2)+T5</f>
        <v>3.625</v>
      </c>
      <c r="V5" s="1">
        <v>4</v>
      </c>
      <c r="W5" s="1">
        <f t="shared" ref="W5:W22" si="9">((X5-V5)/2)+V5</f>
        <v>4.125</v>
      </c>
      <c r="X5" s="1">
        <v>4.25</v>
      </c>
      <c r="Y5" s="1">
        <f t="shared" ref="Y5:Y22" si="10">((Z5-X5)/2)+X5</f>
        <v>4.75</v>
      </c>
      <c r="Z5" s="1">
        <v>5.25</v>
      </c>
      <c r="AA5" s="1">
        <f t="shared" ref="AA5:AA22" si="11">((AB5-Z5)/2)+Z5</f>
        <v>5.625</v>
      </c>
      <c r="AB5" s="1">
        <v>6</v>
      </c>
      <c r="AC5" s="1">
        <f t="shared" ref="AC5:AC22" si="12">((AD5-AB5)/2)+AB5</f>
        <v>6.25</v>
      </c>
      <c r="AD5" s="1">
        <v>6.5</v>
      </c>
      <c r="AE5" s="1">
        <f t="shared" ref="AE5:AE22" si="13">((AF5-AD5)/2)+AD5</f>
        <v>6.875</v>
      </c>
      <c r="AF5" s="1">
        <v>7.25</v>
      </c>
      <c r="AG5" s="1">
        <f t="shared" ref="AG5:AG22" si="14">((AH5-AF5)/2)+AF5</f>
        <v>7.625</v>
      </c>
      <c r="AH5" s="1">
        <v>8</v>
      </c>
      <c r="AI5" s="1">
        <v>1</v>
      </c>
      <c r="AJ5" s="1">
        <f>IF(AND($F$7&lt;=AI5,AI5&lt;=$F$8),$E$5,0)</f>
        <v>0</v>
      </c>
      <c r="AK5" s="1">
        <f>IF(AND($F$10&lt;=AI5,AI5&lt;=$F$11),$D$11,0)</f>
        <v>0</v>
      </c>
      <c r="AL5" s="1">
        <f>IF(AND($F$12&lt;=AI5,AI5&lt;=$F$13),$D$13,0)</f>
        <v>0</v>
      </c>
      <c r="AM5" s="1">
        <f>IF(AND($F$14&lt;=AI5,AI5&lt;=$F$15),$D$15,0)</f>
        <v>0</v>
      </c>
      <c r="AP5" s="1">
        <f>IF(AND(AK5&gt;0,AL5=0,AM5=0),AK5,IF(AND(AL5&gt;0,AM5=0),AL5,IF(AM5&gt;0,AM5,AJ5)))</f>
        <v>0</v>
      </c>
      <c r="AQ5" s="1">
        <f>MONTH(B7)</f>
        <v>1</v>
      </c>
      <c r="AR5" s="1">
        <f>DAY(B7)</f>
        <v>0</v>
      </c>
      <c r="AT5" s="1">
        <v>2</v>
      </c>
      <c r="AU5" s="1">
        <f t="shared" si="1"/>
        <v>0</v>
      </c>
      <c r="AV5" s="1" t="str">
        <f t="shared" ref="AV5:AV12" si="15">IF(ISNA(INDEX($L$4:$AH$22,MATCH(AT5,$K$4:$K$22,0),MATCH(AU5,$L$3:$AH$3,0))),"",INDEX($L$4:$AH$22,MATCH(AT5,$K$4:$K$22,0),MATCH(AU5,$L$3:$AH$3,0)))</f>
        <v/>
      </c>
      <c r="AW5" s="170">
        <v>3</v>
      </c>
      <c r="AX5" s="173">
        <f t="shared" si="2"/>
        <v>0</v>
      </c>
      <c r="AY5" s="174">
        <f t="shared" si="0"/>
        <v>0</v>
      </c>
      <c r="AZ5" s="40"/>
      <c r="BA5" s="40">
        <f>IF(AND(AX5=AX4,BC5=BC4,BD5=BD4,BE5=BE4,BF5=BF4,BG5=BG4),BA4,BA4+1)</f>
        <v>1</v>
      </c>
      <c r="BB5" s="40">
        <f t="shared" si="3"/>
        <v>0</v>
      </c>
      <c r="BC5" s="182">
        <f>IF(Mrz!W3&gt;0,Mrz!W3,IF(AND(SUM(BH4:BL4)&gt;0,AY4=AX5),BH4,IF(AX5=AX4,BC4,IF(AND(SUM(BH3:BL3)&gt;0,AY3=AX5),BH3,IF(AX3=AX5,BC3,IF(AND(SUM(AX3:AX4)=0,SUM(AY3:AY4)=0),B36,0))))))</f>
        <v>0</v>
      </c>
      <c r="BD5" s="176">
        <f>IF(Mrz!W4&gt;0,Mrz!W4,IF(AND(SUM(BH4:BL4)&gt;0,AY4=AX5),BI4,IF(AX5=AX4,BD4,IF(AND(SUM(BH3:BL3)&gt;0,AY3=AX5),BI3,IF(AX3=AX5,BD3,IF(AND(SUM(AX3:AX4)=0,SUM(AY3:AY4)=0),B37,0))))))</f>
        <v>0</v>
      </c>
      <c r="BE5" s="176">
        <f>IF(Mrz!W5&gt;0,Mrz!W5,IF(AND(SUM(BH4:BL4)&gt;0,AY4=AX5),BJ4,IF(AX5=AX4,BE4,IF(AND(SUM(BH3:BL3)&gt;0,AY3=AX5),BJ3,IF(AX3=AX5,BE3,IF(AND(SUM(AX3:AX4)=0,SUM(AY3:AY4)=0),B38,0))))))</f>
        <v>0</v>
      </c>
      <c r="BF5" s="176">
        <f>IF(Mrz!W6&gt;0,Mrz!W6,IF(AND(SUM(BH4:BL4)&gt;0,AY4=AX5),BK4,IF(AX5=AX4,BF4,IF(AND(SUM(BH3:BL3)&gt;0,AY3=AX5),BK3,IF(AX3=AX5,BF3,IF(AND(SUM(AX3:AX4)=0,SUM(AY3:AY4)=0),B39,0))))))</f>
        <v>0</v>
      </c>
      <c r="BG5" s="183">
        <f>IF(Mrz!W7&gt;0,Mrz!W7,IF(AND(SUM(BH4:BL4)&gt;0,AY4=AX5),BL4,IF(AX5=AX4,BG4,IF(AND(SUM(BH3:BL3)&gt;0,AY3=AX5),BL3,IF(AX3=AX5,BG3,IF(AND(SUM(AX3:AX4)=0,SUM(AY3:AY4)=0),B40,0))))))</f>
        <v>0</v>
      </c>
      <c r="BH5" s="182">
        <f>IF(AY5=0,0,IF(Mrz!W12&gt;0,Mrz!W12,IF(AY5=AX5,0,IF(AND(SUM(BH4:BL4)&gt;0,AY4=AY5),BH4,IF(AY5=AX4,BC4,IF(AND(SUM(BH3:BL3)&gt;0,AY3=AY5),BH3,IF(AX3=AY5,BC3,IF(AND(SUM(AX3:AX5)=0,SUM(AY3:AY4)=0),B36,0))))))))</f>
        <v>0</v>
      </c>
      <c r="BI5" s="176">
        <f>IF(AY5=0,0,IF(Mrz!W13&gt;0,Mrz!W12,IF(AY5=AX5,0,IF(AND(SUM(BH4:BL4)&gt;0,AY4=AY5),BI4,IF(AY5=AX4,BD4,IF(AND(SUM(BH3:BL3)&gt;0,AY3=AY5),BI3,IF(AX3=AY5,BD3,IF(AND(SUM(AX3:AX5)=0,SUM(AY3:AY4)=0),B37,0))))))))</f>
        <v>0</v>
      </c>
      <c r="BJ5" s="176">
        <f>IF(AY5=0,0,IF(Mrz!W14&gt;0,Mrz!W14,IF(AY5=AX5,0,IF(AND(SUM(BH4:BL4)&gt;0,AY4=AY5),BJ4,IF(AY5=AX4,BE4,IF(AND(SUM(BH3:BL3)&gt;0,AY3=AY5),BJ3,IF(AX3=AY5,BE3,IF(AND(SUM(AX3:AX5)=0,SUM(AY3:AY4)=0),B38,0))))))))</f>
        <v>0</v>
      </c>
      <c r="BK5" s="176">
        <f>IF(AY5=0,0,IF(Mrz!W15&gt;0,Mrz!W15,IF(AY5=AX5,0,IF(AND(SUM(BH4:BL4)&gt;0,AY4=AY5),BK4,IF(AY5=AX4,BF4,IF(AND(SUM(BH3:BL3)&gt;0,AY3=AY5),BK3,IF(AX3=AY5,BF3,IF(AND(SUM(AX3:AX5)=0,SUM(AY3:AY4)=0),B39,0))))))))</f>
        <v>0</v>
      </c>
      <c r="BL5" s="183">
        <f>IF(AY5=0,0,IF(Mrz!W16&gt;0,Mrz!W15,IF(AY5=AX5,0,IF(AND(SUM(BH4:BL4)&gt;0,AY4=AY5),BL4,IF(AY5=AX4,BG4,IF(AND(SUM(BH3:BL3)&gt;0,AY3=AY5),BL3,IF(AX3=AY5,BG3,IF(AND(SUM(AX3:AX5)=0,SUM(AY3:AY4)=0),B40,0))))))))</f>
        <v>0</v>
      </c>
      <c r="BM5" s="40">
        <f t="shared" ref="BM5:BM14" si="16">IF(AND(AY5=AY4,OR(BH5=BH4,BI5=BI4,BJ5=BJ4,BK5=BK4,BL5=BL4),BN5=BN4),BM4,BM4+1)</f>
        <v>1</v>
      </c>
      <c r="BN5" s="1">
        <f t="shared" ref="BN5:BN14" si="17">IF(AX5=AY5,BB5,SUM(BH5:BL5))</f>
        <v>0</v>
      </c>
    </row>
    <row r="6" spans="1:66" x14ac:dyDescent="0.2">
      <c r="A6" s="68" t="s">
        <v>56</v>
      </c>
      <c r="B6" s="68"/>
      <c r="C6" s="70"/>
      <c r="D6" s="68"/>
      <c r="E6" s="68"/>
      <c r="F6" s="70"/>
      <c r="G6" s="40"/>
      <c r="K6" s="1">
        <v>3</v>
      </c>
      <c r="L6" s="1">
        <v>1</v>
      </c>
      <c r="M6" s="1">
        <f t="shared" si="4"/>
        <v>1.5</v>
      </c>
      <c r="N6" s="1">
        <v>2</v>
      </c>
      <c r="O6" s="1">
        <f t="shared" si="5"/>
        <v>2.5</v>
      </c>
      <c r="P6" s="1">
        <v>3</v>
      </c>
      <c r="Q6" s="1">
        <f t="shared" si="6"/>
        <v>3.5</v>
      </c>
      <c r="R6" s="1">
        <v>4</v>
      </c>
      <c r="S6" s="1">
        <f t="shared" si="7"/>
        <v>4.5</v>
      </c>
      <c r="T6" s="1">
        <v>5</v>
      </c>
      <c r="U6" s="1">
        <f t="shared" si="8"/>
        <v>5.5</v>
      </c>
      <c r="V6" s="1">
        <v>6</v>
      </c>
      <c r="W6" s="1">
        <f t="shared" si="9"/>
        <v>6.5</v>
      </c>
      <c r="X6" s="1">
        <v>7</v>
      </c>
      <c r="Y6" s="1">
        <f t="shared" si="10"/>
        <v>7.5</v>
      </c>
      <c r="Z6" s="1">
        <v>8</v>
      </c>
      <c r="AA6" s="1">
        <f t="shared" si="11"/>
        <v>8.5</v>
      </c>
      <c r="AB6" s="1">
        <v>9</v>
      </c>
      <c r="AC6" s="1">
        <f t="shared" si="12"/>
        <v>9.5</v>
      </c>
      <c r="AD6" s="1">
        <v>10</v>
      </c>
      <c r="AE6" s="1">
        <f t="shared" si="13"/>
        <v>10.5</v>
      </c>
      <c r="AF6" s="1">
        <v>11</v>
      </c>
      <c r="AG6" s="1">
        <f t="shared" si="14"/>
        <v>11.5</v>
      </c>
      <c r="AH6" s="1">
        <v>12</v>
      </c>
      <c r="AI6" s="1">
        <v>1.5</v>
      </c>
      <c r="AJ6" s="1">
        <f t="shared" ref="AJ6:AJ28" si="18">IF(AND($F$7&lt;=AI6,AI6&lt;=$F$8),$E$5,0)</f>
        <v>0</v>
      </c>
      <c r="AK6" s="1">
        <f t="shared" ref="AK6:AK28" si="19">IF(AND($F$10&lt;=AI6,AI6&lt;=$F$11),$D$11,0)</f>
        <v>0</v>
      </c>
      <c r="AL6" s="1">
        <f t="shared" ref="AL6:AL28" si="20">IF(AND($F$12&lt;=AI6,AI6&lt;=$F$13),$D$13,0)</f>
        <v>0</v>
      </c>
      <c r="AM6" s="1">
        <f t="shared" ref="AM6:AM28" si="21">IF(AND($F$14&lt;=AI6,AI6&lt;=$F$15),$D$15,0)</f>
        <v>0</v>
      </c>
      <c r="AP6" s="1">
        <f t="shared" ref="AP6:AP28" si="22">IF(AND(AK6&gt;0,AL6=0,AM6=0),AK6,IF(AND(AL6&gt;0,AM6=0),AL6,IF(AM6&gt;0,AM6,AJ6)))</f>
        <v>0</v>
      </c>
      <c r="AQ6" s="1">
        <f>MONTH(B8)</f>
        <v>1</v>
      </c>
      <c r="AR6" s="1">
        <f>DAY(B8)</f>
        <v>0</v>
      </c>
      <c r="AT6" s="1">
        <v>3</v>
      </c>
      <c r="AU6" s="1">
        <f t="shared" si="1"/>
        <v>0</v>
      </c>
      <c r="AV6" s="1" t="str">
        <f t="shared" si="15"/>
        <v/>
      </c>
      <c r="AW6" s="170">
        <v>4</v>
      </c>
      <c r="AX6" s="173">
        <f t="shared" si="2"/>
        <v>0</v>
      </c>
      <c r="AY6" s="174">
        <f t="shared" si="0"/>
        <v>0</v>
      </c>
      <c r="AZ6" s="40"/>
      <c r="BA6" s="40">
        <f>IF(AND(AX6=AX5,BC6=BC5,BD6=BD5,BE6=BE5,BF6=BF5,BG6=BG5),BA5,BA5+1)</f>
        <v>1</v>
      </c>
      <c r="BB6" s="40">
        <f t="shared" si="3"/>
        <v>0</v>
      </c>
      <c r="BC6" s="182">
        <f>IF(Apr!W3&gt;0,Apr!W3,IF(AND(SUM(BH5:BL5)&gt;0,AY5=AX6),BH5,IF(AX6=AX5,BC5,IF(AND(SUM(BH4:BL4)&gt;0,AY4=AX6),BH4,IF(AX4=AX6,BC4,IF(AND(SUM(BH3:BL3)&gt;0,AY3=AX6),BH3,IF(AX3=AX6,BC3,IF(AND(SUM(AX3:AX5)=0,SUM(AY3:AY5)=0),B36,0))))))))</f>
        <v>0</v>
      </c>
      <c r="BD6" s="176">
        <f>IF(Apr!W4&gt;0,Apr!W4,IF(AND(SUM(BH5:BL5)&gt;0,AY5=AX6),BI5,IF(AX6=AX5,BD5,IF(AND(SUM(BH4:BL4)&gt;0,AY4=AX6),BI4,IF(AX4=AX6,BD4,IF(AND(SUM(BH3:BL3)&gt;0,AY3=AX6),BI3,IF(AX3=AX6,BD3,IF(AND(SUM(AX3:AX5)=0,SUM(AY3:AY5)=0),B37,0))))))))</f>
        <v>0</v>
      </c>
      <c r="BE6" s="176">
        <f>IF(Apr!W5&gt;0,Apr!W5,IF(AND(SUM(BH5:BL5)&gt;0,AY5=AX6),BJ5,IF(AX6=AX5,BE5,IF(AND(SUM(BH4:BL4)&gt;0,AY4=AX6),BJ4,IF(AX4=AX6,BE4,IF(AND(SUM(BH3:BL3)&gt;0,AY3=AX6),BJ3,IF(AX3=AX6,BE3,IF(AND(SUM(AX3:AX5)=0,SUM(AY3:AY5)=0),B38,0))))))))</f>
        <v>0</v>
      </c>
      <c r="BF6" s="176">
        <f>IF(Apr!W6&gt;0,Apr!W6,IF(AND(SUM(BH5:BL5)&gt;0,AY5=AX6),BK5,IF(AX6=AX5,BF5,IF(AND(SUM(BH4:BL4)&gt;0,AY4=AX6),BK4,IF(AX4=AX6,BF4,IF(AND(SUM(BH3:BL3)&gt;0,AY3=AX6),BK3,IF(AX3=AX6,BF3,IF(AND(SUM(AX3:AX5)=0,SUM(AY3:AY5)=0),B39,0))))))))</f>
        <v>0</v>
      </c>
      <c r="BG6" s="183">
        <f>IF(Apr!W7&gt;0,Apr!W7,IF(AND(SUM(BH5:BL5)&gt;0,AY5=AX6),BL5,IF(AX6=AX5,BG5,IF(AND(SUM(BH4:BL4)&gt;0,AY4=AX6),BL4,IF(AX4=AX6,BG4,IF(AND(SUM(BH3:BL3)&gt;0,AY3=AX6),BL3,IF(AX3=AX6,BG3,IF(AND(SUM(AX3:AX5)=0,SUM(AY3:AY5)=0),B40,0))))))))</f>
        <v>0</v>
      </c>
      <c r="BH6" s="182">
        <f>IF(AY6=0,0,IF(Apr!W12&gt;0,Apr!W12,IF(AY6=AX6,0,IF(AND(SUM(BH5:BL5)&gt;0,AY5=AY6),BH5,IF(AY6=AX5,BC5,IF(AND(SUM(BH4:BL4)&gt;0,AY4=AY6),BH4,IF(AX4=AY6,BC4,IF(AND(SUM(BH3:BL3)&gt;0,AY3=AY6),BH3,IF(AX3=AY6,BC3,IF(AND(SUM(AX3:AX6)=0,SUM(AY3:AY5)=0),B36,0))))))))))</f>
        <v>0</v>
      </c>
      <c r="BI6" s="176">
        <f>IF(AY6=0,0,IF(Apr!W13&gt;0,Apr!W13,IF(AY6=AX6,0,IF(AND(SUM(BH5:BL5)&gt;0,AY5=AY6),BI5,IF(AY6=AX5,BD5,IF(AND(SUM(BH4:BL4)&gt;0,AY4=AY6),BI4,IF(AX4=AY6,BD4,IF(AND(SUM(BH3:BL3)&gt;0,AY3=AY6),BI3,IF(AX3=AY6,BD3,IF(AND(SUM(AX3:AX6)=0,SUM(AY3:AY5)=0),B37,0))))))))))</f>
        <v>0</v>
      </c>
      <c r="BJ6" s="176">
        <f>IF(AY6=0,0,IF(Apr!W14&gt;0,Apr!W14,IF(AY6=AX6,0,IF(AND(SUM(BH5:BL5)&gt;0,AY5=AY6),BJ5,IF(AY6=AX5,BE5,IF(AND(SUM(BH4:BL4)&gt;0,AY4=AY6),BJ4,IF(AX4=AY6,BE4,IF(AND(SUM(BH3:BL3)&gt;0,AY3=AY6),BJ3,IF(AX3=AY6,BE3,IF(AND(SUM(AX3:AX6)=0,SUM(AY3:AY5)=0),B38,0))))))))))</f>
        <v>0</v>
      </c>
      <c r="BK6" s="176">
        <f>IF(AY6=0,0,IF(Apr!W15&gt;0,Apr!W15,IF(AY6=AX6,0,IF(AND(SUM(BH5:BL5)&gt;0,AY5=AY6),BK5,IF(AY6=AX5,BF5,IF(AND(SUM(BH4:BL4)&gt;0,AY4=AY6),BK4,IF(AX4=AY6,BF4,IF(AND(SUM(BH3:BL3)&gt;0,AY3=AY6),BK3,IF(AX3=AY6,BF3,IF(AND(SUM(AX3:AX6)=0,SUM(AY3:AY5)=0),B39,0))))))))))</f>
        <v>0</v>
      </c>
      <c r="BL6" s="183">
        <f>IF(AY6=0,0,IF(Apr!W16&gt;0,Apr!W16,IF(AY6=AX6,0,IF(AND(SUM(BH5:BL5)&gt;0,AY5=AY6),BL5,IF(AY6=AX5,BG5,IF(AND(SUM(BH4:BL4)&gt;0,AY4=AY6),BL4,IF(AX4=AY6,BG4,IF(AND(SUM(BH3:BL3)&gt;0,AY3=AY6),BL3,IF(AX3=AY6,BG3,IF(AND(SUM(AX3:AX6)=0,SUM(AY3:AY5)=0),B40,0))))))))))</f>
        <v>0</v>
      </c>
      <c r="BM6" s="40">
        <f t="shared" si="16"/>
        <v>1</v>
      </c>
      <c r="BN6" s="1">
        <f t="shared" si="17"/>
        <v>0</v>
      </c>
    </row>
    <row r="7" spans="1:66" x14ac:dyDescent="0.2">
      <c r="A7" s="261" t="s">
        <v>48</v>
      </c>
      <c r="B7" s="53"/>
      <c r="C7" s="70" t="s">
        <v>50</v>
      </c>
      <c r="D7" s="69" t="str">
        <f>IF(B7="","",IF(J7&gt;=17,I7+1,I7+0.5))</f>
        <v/>
      </c>
      <c r="E7" s="167">
        <f t="shared" ref="E7:E9" si="23">IF(B7="",0,IF(DAY(B7)=1,1,0.5))</f>
        <v>0</v>
      </c>
      <c r="F7" s="167">
        <f t="shared" ref="F7:F9" si="24">IF(DAY(B7)=15,MONTH(B7)+0.5,MONTH(B7))</f>
        <v>1</v>
      </c>
      <c r="G7" s="260" t="s">
        <v>106</v>
      </c>
      <c r="H7">
        <f>B8-B7</f>
        <v>0</v>
      </c>
      <c r="I7">
        <f>DATEDIF(B7,B8,"ym")</f>
        <v>0</v>
      </c>
      <c r="J7">
        <f>DATEDIF(B7,B8,"md")</f>
        <v>0</v>
      </c>
      <c r="K7" s="1">
        <v>4</v>
      </c>
      <c r="L7" s="1">
        <v>1.25</v>
      </c>
      <c r="M7" s="1">
        <f t="shared" si="4"/>
        <v>1.875</v>
      </c>
      <c r="N7" s="1">
        <v>2.5</v>
      </c>
      <c r="O7" s="1">
        <f t="shared" si="5"/>
        <v>3.25</v>
      </c>
      <c r="P7" s="1">
        <v>4</v>
      </c>
      <c r="Q7" s="1">
        <f t="shared" si="6"/>
        <v>4.625</v>
      </c>
      <c r="R7" s="1">
        <v>5.25</v>
      </c>
      <c r="S7" s="1">
        <f t="shared" si="7"/>
        <v>5.875</v>
      </c>
      <c r="T7" s="1">
        <v>6.5</v>
      </c>
      <c r="U7" s="1">
        <f t="shared" si="8"/>
        <v>7.25</v>
      </c>
      <c r="V7" s="1">
        <v>8</v>
      </c>
      <c r="W7" s="1">
        <f t="shared" si="9"/>
        <v>8.625</v>
      </c>
      <c r="X7" s="1">
        <v>9.25</v>
      </c>
      <c r="Y7" s="1">
        <f t="shared" si="10"/>
        <v>9.875</v>
      </c>
      <c r="Z7" s="1">
        <v>10.5</v>
      </c>
      <c r="AA7" s="1">
        <f t="shared" si="11"/>
        <v>11.25</v>
      </c>
      <c r="AB7" s="1">
        <v>12</v>
      </c>
      <c r="AC7" s="1">
        <f t="shared" si="12"/>
        <v>12.625</v>
      </c>
      <c r="AD7" s="1">
        <v>13.25</v>
      </c>
      <c r="AE7" s="1">
        <f t="shared" si="13"/>
        <v>13.875</v>
      </c>
      <c r="AF7" s="1">
        <v>14.5</v>
      </c>
      <c r="AG7" s="1">
        <f t="shared" si="14"/>
        <v>15.25</v>
      </c>
      <c r="AH7" s="1">
        <v>16</v>
      </c>
      <c r="AI7" s="1">
        <v>2</v>
      </c>
      <c r="AJ7" s="1">
        <f t="shared" si="18"/>
        <v>0</v>
      </c>
      <c r="AK7" s="1">
        <f t="shared" si="19"/>
        <v>0</v>
      </c>
      <c r="AL7" s="1">
        <f t="shared" si="20"/>
        <v>0</v>
      </c>
      <c r="AM7" s="1">
        <f t="shared" si="21"/>
        <v>0</v>
      </c>
      <c r="AP7" s="1">
        <f t="shared" si="22"/>
        <v>0</v>
      </c>
      <c r="AQ7" s="1">
        <f>IF(B10="",0,MONTH(B10))</f>
        <v>0</v>
      </c>
      <c r="AR7" s="1">
        <f>DAY(B10)</f>
        <v>0</v>
      </c>
      <c r="AT7" s="1">
        <v>4</v>
      </c>
      <c r="AU7" s="1">
        <f t="shared" si="1"/>
        <v>0</v>
      </c>
      <c r="AV7" s="1" t="str">
        <f t="shared" si="15"/>
        <v/>
      </c>
      <c r="AW7" s="170">
        <v>5</v>
      </c>
      <c r="AX7" s="173">
        <f t="shared" si="2"/>
        <v>0</v>
      </c>
      <c r="AY7" s="174">
        <f t="shared" si="0"/>
        <v>0</v>
      </c>
      <c r="AZ7" s="40"/>
      <c r="BA7" s="40">
        <f t="shared" ref="BA7" si="25">IF(AND(AX7=AX6,BC7=BC6,BD7=BD6,BE7=BE6,BF7=BF6,BG7=BG6),BA6,BA6+1)</f>
        <v>1</v>
      </c>
      <c r="BB7" s="40">
        <f t="shared" si="3"/>
        <v>0</v>
      </c>
      <c r="BC7" s="182">
        <f>IF(Mai!W3&gt;0,Mai!W3,IF(AND(SUM(BH6:BL6)&gt;0,AY6=AX7),BH6,IF(AX7=AX6,BC6,IF(AND(SUM(BH5:BL5)&gt;0,AY5=AX7),BH5,IF(AX5=AX7,BC5,IF(AND(SUM(BH4:BL4)&gt;0,AY4=AX7),BH4,IF(AX4=AX7,BC4,IF(AND(SUM(BH3:BL3)&gt;0,AY3=AX7),BH3,IF(AX3=AX7,BC3,IF(AND(SUM(AX3:AX6)=0,SUM(AY3:AY6)=0),B36,0))))))))))</f>
        <v>0</v>
      </c>
      <c r="BD7" s="176">
        <f>IF(Mai!W4&gt;0,Mai!W4,IF(AND(SUM(BH6:BL6)&gt;0,AY6=AX7),BI6,IF(AX7=AX6,BD6,IF(AND(SUM(BH5:BL5)&gt;0,AY5=AX7),BI5,IF(AX5=AX7,BD5,IF(AND(SUM(BH4:BL4)&gt;0,AY4=AX7),BI4,IF(AX4=AX7,BD4,IF(AND(SUM(BH3:BL3)&gt;0,AY3=AX7),BI3,IF(AX3=AX7,BD3,IF(AND(SUM(AX3:AX6)=0,SUM(AY3:AY6)=0),B37,0))))))))))</f>
        <v>0</v>
      </c>
      <c r="BE7" s="176">
        <f>IF(Mai!W5&gt;0,Mai!W5,IF(AND(SUM(BH6:BL6)&gt;0,AY6=AX7),BJ6,IF(AX7=AX6,BE6,IF(AND(SUM(BH5:BL5)&gt;0,AY5=AX7),BJ5,IF(AX5=AX7,BE5,IF(AND(SUM(BH4:BL4)&gt;0,AY4=AX7),BJ4,IF(AX4=AX7,BE4,IF(AND(SUM(BH3:BL3)&gt;0,AY3=AX7),BJ3,IF(AX3=AX7,BE3,IF(AND(SUM(AX3:AX6)=0,SUM(AY3:AY6)=0),B38,0))))))))))</f>
        <v>0</v>
      </c>
      <c r="BF7" s="176">
        <f>IF(Mai!W6&gt;0,Mai!W6,IF(AND(SUM(BH6:BL6)&gt;0,AY6=AX7),BK6,IF(AX7=AX6,BF6,IF(AND(SUM(BH5:BL5)&gt;0,AY5=AX7),BK5,IF(AX5=AX7,BF5,IF(AND(SUM(BH4:BL4)&gt;0,AY4=AX7),BK4,IF(AX4=AX7,BF4,IF(AND(SUM(BH3:BL3)&gt;0,AY3=AX7),BK3,IF(AX3=AX7,BF3,IF(AND(SUM(AX3:AX6)=0,SUM(AY3:AY6)=0),B39,0))))))))))</f>
        <v>0</v>
      </c>
      <c r="BG7" s="183">
        <f>IF(Mai!W7&gt;0,Mai!W7,IF(AND(SUM(BH6:BL6)&gt;0,AY6=AX7),BL6,IF(AX7=AX6,BG6,IF(AND(SUM(BH5:BL5)&gt;0,AY5=AX7),BL5,IF(AX5=AX7,BG5,IF(AND(SUM(BH4:BL4)&gt;0,AY4=AX7),BL4,IF(AX4=AX7,BG4,IF(AND(SUM(BH3:BL3)&gt;0,AY3=AX7),BL3,IF(AX3=AX7,BG3,IF(AND(SUM(AX3:AX6)=0,SUM(AY3:AY6)=0),B40,0))))))))))</f>
        <v>0</v>
      </c>
      <c r="BH7" s="182">
        <f>IF(AY7=0,0,IF(Mai!W12&gt;0,Mai!W12,IF(AY7=AX7,0,IF(AND(SUM(BH6:BL6)&gt;0,AY6=AY7),BH6,IF(AY7=AX6,BC6,IF(AND(SUM(BH5:BL5)&gt;0,AY5=AY7),BH5,IF(AX5=AY7,BC5,IF(AND(SUM(BH4:BL4)&gt;0,AY4=AY7),BH4,IF(AX4=AY7,BC4,IF(AND(SUM(BH3:BL3)&gt;0,AY3=AY7),BH3,IF(AX3=AY7,BC3,IF(AND(SUM(AX3:AX7)=0,SUM(AY3:AY6)=0),B36,0))))))))))))</f>
        <v>0</v>
      </c>
      <c r="BI7" s="176">
        <f>IF(AY7=0,0,IF(Mai!W13&gt;0,Mai!W13,IF(AY7=AX7,0,IF(AND(SUM(BH6:BL6)&gt;0,AY6=AY7),BI6,IF(AY7=AX6,BD6,IF(AND(SUM(BH5:BL5)&gt;0,AY5=AY7),BI5,IF(AX5=AY7,BD5,IF(AND(SUM(BH4:BL4)&gt;0,AY4=AY7),BI4,IF(AX4=AY7,BD4,IF(AND(SUM(BH3:BL3)&gt;0,AY3=AY7),BI3,IF(AX3=AY7,BD3,IF(AND(SUM(AX3:AX7)=0,SUM(AY3:AY6)=0),B37,0))))))))))))</f>
        <v>0</v>
      </c>
      <c r="BJ7" s="176">
        <f>IF(AY7=0,0,IF(Mai!W14&gt;0,Mai!W14,IF(AY7=AX7,0,IF(AND(SUM(BH6:BL6)&gt;0,AY6=AY7),BJ6,IF(AY7=AX6,BE6,IF(AND(SUM(BH5:BL5)&gt;0,AY5=AY7),BJ5,IF(AX5=AY7,BE5,IF(AND(SUM(BH4:BL4)&gt;0,AY4=AY7),BJ4,IF(AX4=AY7,BE4,IF(AND(SUM(BH3:BL3)&gt;0,AY3=AY7),BJ3,IF(AX3=AY7,BE3,IF(AND(SUM(AX3:AX7)=0,SUM(AY3:AY6)=0),B38,0))))))))))))</f>
        <v>0</v>
      </c>
      <c r="BK7" s="176">
        <f>IF(AY7=0,0,IF(Mai!W15&gt;0,Mai!W15,IF(AY7=AX7,0,IF(AND(SUM(BH6:BL6)&gt;0,AY6=AY7),BK6,IF(AY7=AX6,BF6,IF(AND(SUM(BH5:BL5)&gt;0,AY5=AY7),BK5,IF(AX5=AY7,BF5,IF(AND(SUM(BH4:BL4)&gt;0,AY4=AY7),BK4,IF(AX4=AY7,BF4,IF(AND(SUM(BH3:BL3)&gt;0,AY3=AY7),BK3,IF(AX3=AY7,BF3,IF(AND(SUM(AX3:AX7)=0,SUM(AY3:AY6)=0),B39,0))))))))))))</f>
        <v>0</v>
      </c>
      <c r="BL7" s="183">
        <f>IF(AY7=0,0,IF(Mai!W16&gt;0,Mai!W16,IF(AY7=AX7,0,IF(AND(SUM(BH6:BL6)&gt;0,AY6=AY7),BL6,IF(AY7=AX6,BG6,IF(AND(SUM(BH5:BL5)&gt;0,AY5=AY7),BL5,IF(AX5=AY7,BG5,IF(AND(SUM(BH4:BL4)&gt;0,AY4=AY7),BL4,IF(AX4=AY7,BG4,IF(AND(SUM(BH3:BL3)&gt;0,AY3=AY7),BL3,IF(AX3=AY7,BG3,IF(AND(SUM(AX3:AX7)=0,SUM(AY3:AY6)=0),B40,0))))))))))))</f>
        <v>0</v>
      </c>
      <c r="BM7" s="40">
        <f t="shared" si="16"/>
        <v>1</v>
      </c>
      <c r="BN7" s="1">
        <f>IF(AX7=AY7,BB7,SUM(BH7:BL7))</f>
        <v>0</v>
      </c>
    </row>
    <row r="8" spans="1:66" ht="13.5" customHeight="1" thickBot="1" x14ac:dyDescent="0.25">
      <c r="A8" s="262" t="s">
        <v>49</v>
      </c>
      <c r="B8" s="54"/>
      <c r="C8" s="62" t="s">
        <v>53</v>
      </c>
      <c r="D8" s="69" t="str">
        <f>IF(AND(B7="",B8=""),"",AZ3)</f>
        <v/>
      </c>
      <c r="E8" s="167">
        <f t="shared" si="23"/>
        <v>0</v>
      </c>
      <c r="F8" s="167">
        <f>IF(DAY(B8)=14,MONTH(B8),MONTH(B8)+0.5)</f>
        <v>1.5</v>
      </c>
      <c r="G8" s="275" t="s">
        <v>107</v>
      </c>
      <c r="K8" s="1">
        <v>5</v>
      </c>
      <c r="L8" s="1">
        <v>1.5</v>
      </c>
      <c r="M8" s="1">
        <f t="shared" si="4"/>
        <v>2.375</v>
      </c>
      <c r="N8" s="1">
        <v>3.25</v>
      </c>
      <c r="O8" s="1">
        <f t="shared" si="5"/>
        <v>4.125</v>
      </c>
      <c r="P8" s="1">
        <v>5</v>
      </c>
      <c r="Q8" s="1">
        <f t="shared" si="6"/>
        <v>5.75</v>
      </c>
      <c r="R8" s="1">
        <v>6.5</v>
      </c>
      <c r="S8" s="1">
        <f t="shared" si="7"/>
        <v>7.375</v>
      </c>
      <c r="T8" s="1">
        <v>8.25</v>
      </c>
      <c r="U8" s="1">
        <f t="shared" si="8"/>
        <v>9.125</v>
      </c>
      <c r="V8" s="1">
        <v>10</v>
      </c>
      <c r="W8" s="1">
        <f t="shared" si="9"/>
        <v>10.75</v>
      </c>
      <c r="X8" s="1">
        <v>11.5</v>
      </c>
      <c r="Y8" s="1">
        <f t="shared" si="10"/>
        <v>12.375</v>
      </c>
      <c r="Z8" s="1">
        <v>13.25</v>
      </c>
      <c r="AA8" s="1">
        <f t="shared" si="11"/>
        <v>14.125</v>
      </c>
      <c r="AB8" s="1">
        <v>15</v>
      </c>
      <c r="AC8" s="1">
        <f t="shared" si="12"/>
        <v>15.75</v>
      </c>
      <c r="AD8" s="1">
        <v>16.5</v>
      </c>
      <c r="AE8" s="1">
        <f t="shared" si="13"/>
        <v>17.375</v>
      </c>
      <c r="AF8" s="1">
        <v>18.25</v>
      </c>
      <c r="AG8" s="1">
        <f t="shared" si="14"/>
        <v>19.125</v>
      </c>
      <c r="AH8" s="1">
        <v>20</v>
      </c>
      <c r="AI8" s="1">
        <v>2.5</v>
      </c>
      <c r="AJ8" s="1">
        <f t="shared" si="18"/>
        <v>0</v>
      </c>
      <c r="AK8" s="1">
        <f t="shared" si="19"/>
        <v>0</v>
      </c>
      <c r="AL8" s="1">
        <f t="shared" si="20"/>
        <v>0</v>
      </c>
      <c r="AM8" s="1">
        <f t="shared" si="21"/>
        <v>0</v>
      </c>
      <c r="AP8" s="1">
        <f t="shared" si="22"/>
        <v>0</v>
      </c>
      <c r="AQ8" s="1">
        <f t="shared" ref="AQ8:AQ12" si="26">IF(B11="",0,MONTH(B11))</f>
        <v>0</v>
      </c>
      <c r="AR8" s="1">
        <f t="shared" ref="AR8:AR12" si="27">DAY(B11)</f>
        <v>0</v>
      </c>
      <c r="AT8" s="1">
        <v>5</v>
      </c>
      <c r="AU8" s="1">
        <f t="shared" si="1"/>
        <v>0</v>
      </c>
      <c r="AV8" s="1" t="str">
        <f t="shared" si="15"/>
        <v/>
      </c>
      <c r="AW8" s="170">
        <v>6</v>
      </c>
      <c r="AX8" s="173">
        <f t="shared" si="2"/>
        <v>0</v>
      </c>
      <c r="AY8" s="174">
        <f t="shared" si="0"/>
        <v>0</v>
      </c>
      <c r="AZ8" s="40"/>
      <c r="BA8" s="40">
        <f>IF(AND(AX8=AX7,BC8=BC7,BD8=BD7,BE8=BE7,BF8=BF7,BG8=BG7),BA7,IF(AND(AX8=AX6,SUM(BC8:BG8)=0,SUM(BC6:BG6)&gt;0),BA6,IF(AND(AX8=AX5,SUM(BC8:BG8)=0,SUM(BC5:BG5)&gt;0),BA5,IF(AND(AX8=AX4,SUM(BC8:BG8)=0,SUM(BC4:BG4)&gt;0),BA4,IF(AND(AX8=AX3,SUM(BC8:BG8)=0,SUM(BC3:BG3)&gt;0),BA3,BA7+1)))))</f>
        <v>1</v>
      </c>
      <c r="BB8" s="40">
        <f t="shared" si="3"/>
        <v>0</v>
      </c>
      <c r="BC8" s="182">
        <f>IF(Jun!W3&gt;0,Jun!W3,IF(AND(SUM(BH7:BL7)&gt;0,AY7=AX8),BH7,IF(AX8=AX7,BC7,IF(AND(SUM(BH6:BL6)&gt;0,AY6=AX8),BH6,IF(AX8=AX6,BC6,IF(AND(SUM(BH5:BL5)&gt;0,AY5=AX8),BH5,IF(AX5=AX8,BC5,IF(AND(SUM(BH4:BL4)&gt;0,AY4=AX8),BH4,IF(AX4=AX8,BC4,IF(AND(SUM(BH3:BL3)&gt;0,AY3=AX8),BH3,IF(AX3=AX8,BC3,IF(AND(SUM(AX3:AX6)=0,SUM(AY3:AY6)=0),B36,0))))))))))))</f>
        <v>0</v>
      </c>
      <c r="BD8" s="176">
        <f>IF(Jun!W4&gt;0,Jun!W4,IF(AND(SUM(BH7:BL7)&gt;0,AY7=AX8),BI7,IF(AX8=AX7,BD7,IF(AND(SUM(BH6:BL6)&gt;0,AY6=AX8),BI6,IF(AX8=AX6,BD6,IF(AND(SUM(BH5:BL5)&gt;0,AY5=AX8),BI5,IF(AX5=AX8,BD5,IF(AND(SUM(BH4:BL4)&gt;0,AY4=AX8),BI4,IF(AX4=AX8,BD4,IF(AND(SUM(BH3:BL3)&gt;0,AY3=AX8),BI3,IF(AX3=AX8,BD3,IF(AND(SUM(AX3:AX6)=0,SUM(AY3:AY6)=0),B37,0))))))))))))</f>
        <v>0</v>
      </c>
      <c r="BE8" s="176">
        <f>IF(Jun!W5&gt;0,Jun!W5,IF(AND(SUM(BH7:BL7)&gt;0,AY7=AX8),BJ7,IF(AX8=AX7,BE7,IF(AND(SUM(BH6:BL6)&gt;0,AY6=AX8),BJ6,IF(AX8=AX6,BE6,IF(AND(SUM(BH5:BL5)&gt;0,AY5=AX8),BJ5,IF(AX5=AX8,BE5,IF(AND(SUM(BH4:BL4)&gt;0,AY4=AX8),BJ4,IF(AX4=AX8,BE4,IF(AND(SUM(BH3:BL3)&gt;0,AY3=AX8),BJ3,IF(AX3=AX8,BE3,IF(AND(SUM(AX3:AX6)=0,SUM(AY3:AY6)=0),B38,0))))))))))))</f>
        <v>0</v>
      </c>
      <c r="BF8" s="176">
        <f>IF(Jun!W6&gt;0,Jun!W6,IF(AND(SUM(BH7:BL7)&gt;0,AY7=AX8),BK7,IF(AX8=AX7,BF7,IF(AND(SUM(BH6:BL6)&gt;0,AY6=AX8),BK6,IF(AX8=AX6,BF6,IF(AND(SUM(BH5:BL5)&gt;0,AY5=AX8),BK5,IF(AX5=AX8,BF5,IF(AND(SUM(BH4:BL4)&gt;0,AY4=AX8),BK4,IF(AX4=AX8,BF4,IF(AND(SUM(BH3:BL3)&gt;0,AY3=AX8),BK3,IF(AX3=AX8,BF3,IF(AND(SUM(AX3:AX6)=0,SUM(AY3:AY6)=0),B39,0))))))))))))</f>
        <v>0</v>
      </c>
      <c r="BG8" s="183">
        <f>IF(Jun!W7&gt;0,Jun!W7,IF(AND(SUM(BH7:BL7)&gt;0,AY7=AX8),BL7,IF(AX8=AX7,BG7,IF(AND(SUM(BH6:BL6)&gt;0,AY6=AX8),BL6,IF(AX8=AX6,BG6,IF(AND(SUM(BH5:BL5)&gt;0,AY5=AX8),BL5,IF(AX5=AX8,BG5,IF(AND(SUM(BH4:BL4)&gt;0,AY4=AX8),BL4,IF(AX4=AX8,BG4,IF(AND(SUM(BH3:BL3)&gt;0,AY3=AX8),BL3,IF(AX3=AX8,BG3,IF(AND(SUM(AX3:AX6)=0,SUM(AY3:AY6)=0),B40,0))))))))))))</f>
        <v>0</v>
      </c>
      <c r="BH8" s="182">
        <f>IF(AY8=0,0,IF(Jun!W12&gt;0,Jun!W12,IF(AY8=AX8,0,IF(AND(SUM(BH7:BL7)&gt;0,AY7=AY8),BH7,IF(AX7=AY8,BC7,IF(AND(SUM(BH6:BL6)&gt;0,AY6=AY8),BH6,IF(AY8=AX6,BC6,IF(AND(SUM(BH5:BL5)&gt;0,AY5=AY8),BH5,IF(AY8=AX5,BC5,IF(AND(SUM(BH4:BL4)&gt;0,AY4=AY8),BH4,IF(AY8=AX4,BC4,IF(AND(SUM(BH3:BL3)&gt;0,AY3=AY8),BH3,IF(AY8=AX3,BC3,IF(AND(SUM(AX3:AX8)=0,SUM(AY3:AY7)=0),B36,0))))))))))))))</f>
        <v>0</v>
      </c>
      <c r="BI8" s="176">
        <f>IF(AY8=0,0,IF(Jun!W13&gt;0,Jun!W13,IF(AY8=AX8,0,IF(AND(SUM(BH7:BL7)&gt;0,AY7=AY8),BI7,IF(AX7=AY8,BD7,IF(AND(SUM(BH6:BL6)&gt;0,AY6=AY8),BI6,IF(AY8=AX6,BD6,IF(AND(SUM(BH5:BL5)&gt;0,AY5=AY8),BI5,IF(AY8=AX5,BD5,IF(AND(SUM(BH4:BL4)&gt;0,AY4=AY8),BI4,IF(AY8=AX4,BD4,IF(AND(SUM(BH3:BL3)&gt;0,AY3=AY8),BI3,IF(AY8=AX3,BD3,IF(AND(SUM(AX3:AX8)=0,SUM(AY3:AY7)=0),B37,0))))))))))))))</f>
        <v>0</v>
      </c>
      <c r="BJ8" s="176">
        <f>IF(AY8=0,0,IF(Jun!W14&gt;0,Jun!W14,IF(AY8=AX8,0,IF(AND(SUM(BH7:BL7)&gt;0,AY7=AY8),BJ7,IF(AX7=AY8,BE7,IF(AND(SUM(BH6:BL6)&gt;0,AY6=AY8),BJ6,IF(AY8=AX6,BE6,IF(AND(SUM(BH5:BL5)&gt;0,AY5=AY8),BJ5,IF(AY8=AX5,BE5,IF(AND(SUM(BH4:BL4)&gt;0,AY4=AY8),BJ4,IF(AY8=AX4,BE4,IF(AND(SUM(BH3:BL3)&gt;0,AY3=AY8),BJ3,IF(AY8=AX3,BE3,IF(AND(SUM(AX3:AX8)=0,SUM(AY3:AY7)=0),B38,0))))))))))))))</f>
        <v>0</v>
      </c>
      <c r="BK8" s="176">
        <f>IF(AY8=0,0,IF(Jun!W15&gt;0,Jun!W15,IF(AY8=AX8,0,IF(AND(SUM(BH7:BL7)&gt;0,AY7=AY8),BK7,IF(AX7=AY8,BF7,IF(AND(SUM(BH6:BL6)&gt;0,AY6=AY8),BK6,IF(AY8=AX6,BF6,IF(AND(SUM(BH5:BL5)&gt;0,AY5=AY8),BK5,IF(AY8=AX5,BF5,IF(AND(SUM(BH4:BL4)&gt;0,AY4=AY8),BK4,IF(AY8=AX4,BF4,IF(AND(SUM(BH3:BL3)&gt;0,AY3=AY8),BK3,IF(AY8=AX3,BF3,IF(AND(SUM(AX3:AX8)=0,SUM(AY3:AY7)=0),B39,0))))))))))))))</f>
        <v>0</v>
      </c>
      <c r="BL8" s="183">
        <f>IF(AY8=0,0,IF(Jun!W16&gt;0,Jun!W16,IF(AY8=AX8,0,IF(AND(SUM(BH7:BL7)&gt;0,AY7=AY8),BL7,IF(AX7=AY8,BG7,IF(AND(SUM(BH6:BL6)&gt;0,AY6=AY8),BL6,IF(AY8=AX6,BG6,IF(AND(SUM(BH5:BL5)&gt;0,AY5=AY8),BL5,IF(AY8=AX5,BG5,IF(AND(SUM(BH4:BL4)&gt;0,AY4=AY8),BL4,IF(AY8=AX4,BG4,IF(AND(SUM(BH3:BL3)&gt;0,AY3=AY8),BL3,IF(AY8=AX3,BG3,IF(AND(SUM(AX3:AX8)=0,SUM(AY3:AY7)=0),B40,0))))))))))))))</f>
        <v>0</v>
      </c>
      <c r="BM8" s="40">
        <f t="shared" si="16"/>
        <v>1</v>
      </c>
      <c r="BN8" s="1">
        <f t="shared" si="17"/>
        <v>0</v>
      </c>
    </row>
    <row r="9" spans="1:66" x14ac:dyDescent="0.2">
      <c r="A9" s="145" t="s">
        <v>86</v>
      </c>
      <c r="B9" s="146"/>
      <c r="C9" s="147"/>
      <c r="D9" s="148"/>
      <c r="E9" s="167">
        <f t="shared" si="23"/>
        <v>0</v>
      </c>
      <c r="F9" s="167">
        <f t="shared" si="24"/>
        <v>1</v>
      </c>
      <c r="G9" s="275"/>
      <c r="K9" s="1">
        <v>6</v>
      </c>
      <c r="L9" s="1">
        <v>2</v>
      </c>
      <c r="M9" s="1">
        <f t="shared" si="4"/>
        <v>3</v>
      </c>
      <c r="N9" s="1">
        <v>4</v>
      </c>
      <c r="O9" s="1">
        <f t="shared" si="5"/>
        <v>5</v>
      </c>
      <c r="P9" s="1">
        <v>6</v>
      </c>
      <c r="Q9" s="1">
        <f t="shared" si="6"/>
        <v>7</v>
      </c>
      <c r="R9" s="1">
        <v>8</v>
      </c>
      <c r="S9" s="1">
        <f t="shared" si="7"/>
        <v>9</v>
      </c>
      <c r="T9" s="1">
        <v>10</v>
      </c>
      <c r="U9" s="1">
        <f t="shared" si="8"/>
        <v>11</v>
      </c>
      <c r="V9" s="1">
        <v>12</v>
      </c>
      <c r="W9" s="1">
        <f t="shared" si="9"/>
        <v>13</v>
      </c>
      <c r="X9" s="1">
        <v>14</v>
      </c>
      <c r="Y9" s="1">
        <f t="shared" si="10"/>
        <v>15</v>
      </c>
      <c r="Z9" s="1">
        <v>16</v>
      </c>
      <c r="AA9" s="1">
        <f t="shared" si="11"/>
        <v>17</v>
      </c>
      <c r="AB9" s="1">
        <v>18</v>
      </c>
      <c r="AC9" s="1">
        <f t="shared" si="12"/>
        <v>19</v>
      </c>
      <c r="AD9" s="1">
        <v>20</v>
      </c>
      <c r="AE9" s="1">
        <f t="shared" si="13"/>
        <v>21</v>
      </c>
      <c r="AF9" s="1">
        <v>22</v>
      </c>
      <c r="AG9" s="1">
        <f t="shared" si="14"/>
        <v>23</v>
      </c>
      <c r="AH9" s="1">
        <v>24</v>
      </c>
      <c r="AI9" s="1">
        <v>3</v>
      </c>
      <c r="AJ9" s="1">
        <f t="shared" si="18"/>
        <v>0</v>
      </c>
      <c r="AK9" s="1">
        <f t="shared" si="19"/>
        <v>0</v>
      </c>
      <c r="AL9" s="1">
        <f t="shared" si="20"/>
        <v>0</v>
      </c>
      <c r="AM9" s="1">
        <f t="shared" si="21"/>
        <v>0</v>
      </c>
      <c r="AP9" s="1">
        <f t="shared" si="22"/>
        <v>0</v>
      </c>
      <c r="AQ9" s="1">
        <f t="shared" si="26"/>
        <v>0</v>
      </c>
      <c r="AR9" s="1">
        <f t="shared" si="27"/>
        <v>0</v>
      </c>
      <c r="AT9" s="1">
        <v>6</v>
      </c>
      <c r="AU9" s="1">
        <f t="shared" si="1"/>
        <v>0</v>
      </c>
      <c r="AV9" s="1" t="str">
        <f t="shared" si="15"/>
        <v/>
      </c>
      <c r="AW9" s="170">
        <v>7</v>
      </c>
      <c r="AX9" s="173">
        <f t="shared" si="2"/>
        <v>0</v>
      </c>
      <c r="AY9" s="174">
        <f t="shared" si="0"/>
        <v>0</v>
      </c>
      <c r="AZ9" s="40"/>
      <c r="BA9" s="40">
        <f>IF(AND(AX9=AX8,BC9=BC8,BD9=BD8,BE9=BE8,BF9=BF8,BG9=BG8),BA8,IF(AND(AX9=AX7,SUM(BC9:BG9)=0,SUM(BC7:BG7)&gt;0),BA7,IF(AND(AX9=AX6,SUM(BC9:BG9)=0,SUM(BC6:BG6)&gt;0),BA6,IF(AND(AX9=AX5,SUM(BC9:BG9)=0,SUM(BC5:BG5)&gt;0),BA5,IF(AND(AX9=AX4,SUM(BC9:BG9)=0,SUM(BC4:BG4)&gt;0),BA4,IF(AND(AX9=AX3,SUM(BC9:BG9)=0,SUM(BC3:BG3)&gt;0),BA3,BA8+1))))))</f>
        <v>1</v>
      </c>
      <c r="BB9" s="40">
        <f t="shared" si="3"/>
        <v>0</v>
      </c>
      <c r="BC9" s="182">
        <f>IF(Jul!W3&gt;0,Jul!W3,IF(AND(SUM(BH8:BL8)&gt;0,AY8=AX9),BH8,IF(AX9=AX8,BC8,IF(AND(SUM(BH7:BL7)&gt;0,AY7=AX9),BH7,IF(AX9=AX7,BC7,IF(AND(SUM(BH6:BL6)&gt;0,AY6=AX9),BH6,IF(AX9=AX6,BC6,IF(AND(SUM(BH5:BL5)&gt;0,AY5=AX9),BH5,IF(AX5=AX9,BC5,IF(AND(SUM(BH4:BL4)&gt;0,AY4=AX9),BH4,IF(AX4=AX9,BC4,IF(AND(SUM(BH3:BL3)&gt;0,AY3=AX9),BH3,IF(AX3=AX9,BC3,IF(AND(SUM(AX3:AX7)=0,SUM(AY3:AY7)=0),B36,0))))))))))))))</f>
        <v>0</v>
      </c>
      <c r="BD9" s="176">
        <f>IF(Jul!W4&gt;0,Jul!W4,IF(AND(SUM(BH8:BL8)&gt;0,AY8=AX9),BI8,IF(AX9=AX8,BD8,IF(AND(SUM(BH7:BL7)&gt;0,AY7=AX9),BI7,IF(AX9=AX7,BD7,IF(AND(SUM(BH6:BL6)&gt;0,AY6=AX9),BI6,IF(AX9=AX6,BD6,IF(AND(SUM(BH5:BL5)&gt;0,AY5=AX9),BI5,IF(AX5=AX9,BD5,IF(AND(SUM(BH4:BL4)&gt;0,AY4=AX9),BI4,IF(AX4=AX9,BD4,IF(AND(SUM(BH3:BL3)&gt;0,AY3=AX9),BI3,IF(AX3=AX9,BD3,IF(AND(SUM(AX3:AX7)=0,SUM(AY3:AY7)=0),B37,0))))))))))))))</f>
        <v>0</v>
      </c>
      <c r="BE9" s="176">
        <f>IF(Jul!W5&gt;0,Jul!W5,IF(AND(SUM(BH8:BL8)&gt;0,AY8=AX9),BJ8,IF(AX9=AX8,BE8,IF(AND(SUM(BH7:BL7)&gt;0,AY7=AX9),BJ7,IF(AX9=AX7,BE7,IF(AND(SUM(BH6:BL6)&gt;0,AY6=AX9),BJ6,IF(AX9=AX6,BE6,IF(AND(SUM(BH5:BL5)&gt;0,AY5=AX9),BJ5,IF(AX5=AX9,BE5,IF(AND(SUM(BH4:BL4)&gt;0,AY4=AX9),BJ4,IF(AX4=AX9,BE4,IF(AND(SUM(BH3:BL3)&gt;0,AY3=AX9),BJ3,IF(AX3=AX9,BE3,IF(AND(SUM(AX3:AX7)=0,SUM(AY3:AY7)=0),B38,0))))))))))))))</f>
        <v>0</v>
      </c>
      <c r="BF9" s="176">
        <f>IF(Jul!W6&gt;0,Jul!W6,IF(AND(SUM(BH8:BL8)&gt;0,AY8=AX9),BK8,IF(AX9=AX8,BF8,IF(AND(SUM(BH7:BL7)&gt;0,AY7=AX9),BK7,IF(AX9=AX7,BF7,IF(AND(SUM(BH6:BL6)&gt;0,AY6=AX9),BK6,IF(AX9=AX6,BF6,IF(AND(SUM(BH5:BL5)&gt;0,AY5=AX9),BK5,IF(AX5=AX9,BF5,IF(AND(SUM(BH4:BL4)&gt;0,AY4=AX9),BK4,IF(AX4=AX9,BF4,IF(AND(SUM(BH3:BL3)&gt;0,AY3=AX9),BK3,IF(AX3=AX9,BF3,IF(AND(SUM(AX3:AX7)=0,SUM(AY3:AY7)=0),B39,0))))))))))))))</f>
        <v>0</v>
      </c>
      <c r="BG9" s="183">
        <f>IF(Jul!W7&gt;0,Jul!W7,IF(AND(SUM(BH8:BL8)&gt;0,AY8=AX9),BL8,IF(AX9=AX8,BG8,IF(AND(SUM(BH7:BL7)&gt;0,AY7=AX9),BL7,IF(AX9=AX7,BG7,IF(AND(SUM(BH6:BL6)&gt;0,AY6=AX9),BL6,IF(AX9=AX6,BG6,IF(AND(SUM(BH5:BL5)&gt;0,AY5=AX9),BL5,IF(AX5=AX9,BG5,IF(AND(SUM(BH4:BL4)&gt;0,AY4=AX9),BL4,IF(AX4=AX9,BG4,IF(AND(SUM(BH3:BL3)&gt;0,AY3=AX9),BL3,IF(AX3=AX9,BG3,IF(AND(SUM(AX3:AX7)=0,SUM(AY3:AY7)=0),B40,0))))))))))))))</f>
        <v>0</v>
      </c>
      <c r="BH9" s="182">
        <f>IF(Jul!W12&gt;0,Jul!W12,IF(AY9=AX9,0,IF(AND(SUM(BH8:BL8)&gt;0,AY8=AY9),BH8,IF(AX8=AY9,BC8,IF(AND(SUM(BH7:BL7)&gt;0,AY7=AY9),BH7,IF(AY9=AX7,BC7,IF(AND(SUM(BH6:BL6)&gt;0,AY6=AY9),BH6,IF(AY9=AX6,BC6,IF(AND(SUM(BH5:BL5)&gt;0,AY5=AY9),BH5,IF(AY9=AX5,BC5,IF(AND(SUM(BH4:BL4)&gt;0,AY4=AY9),BH4,IF(AY9=AX4,BC4,IF(AND(SUM(BH3:BL3)&gt;0,AY3=AY9),BH3,IF(AY9=AX3,BC3,IF(AND(SUM(AX3:AX9)=0,SUM(AY3:AY8)=0),B36,0)))))))))))))))</f>
        <v>0</v>
      </c>
      <c r="BI9" s="176">
        <f>IF(Jul!W13&gt;0,Jul!W13,IF(AY9=AX9,0,IF(AND(SUM(BH8:BL8)&gt;0,AY8=AY9),BI8,IF(AX8=AY9,BD8,IF(AND(SUM(BH7:BL7)&gt;0,AY7=AY9),BI7,IF(AY9=AX7,BD7,IF(AND(SUM(BH6:BL6)&gt;0,AY6=AY9),BI6,IF(AY9=AX6,BD6,IF(AND(SUM(BH5:BL5)&gt;0,AY5=AY9),BI5,IF(AY9=AX5,BD5,IF(AND(SUM(BH4:BL4)&gt;0,AY4=AY9),BI4,IF(AY9=AX4,BD4,IF(AND(SUM(BH3:BL3)&gt;0,AY3=AY9),BI3,IF(AY9=AX3,BD3,IF(AND(SUM(AX3:AX9)=0,SUM(AY3:AY8)=0),B37,0)))))))))))))))</f>
        <v>0</v>
      </c>
      <c r="BJ9" s="176">
        <f>IF(Jul!W14&gt;0,Jul!W14,IF(AY9=AX9,0,IF(AND(SUM(BH8:BL8)&gt;0,AY8=AY9),BJ8,IF(AX8=AY9,BE8,IF(AND(SUM(BH7:BL7)&gt;0,AY7=AY9),BJ7,IF(AY9=AX7,BE7,IF(AND(SUM(BH6:BL6)&gt;0,AY6=AY9),BJ6,IF(AY9=AX6,BE6,IF(AND(SUM(BH5:BL5)&gt;0,AY5=AY9),BJ5,IF(AY9=AX5,BE5,IF(AND(SUM(BH4:BL4)&gt;0,AY4=AY9),BJ4,IF(AY9=AX4,BE4,IF(AND(SUM(BH3:BL3)&gt;0,AY3=AY9),BJ3,IF(AY9=AX3,BE3,IF(AND(SUM(AX3:AX9)=0,SUM(AY3:AY8)=0),B38,0)))))))))))))))</f>
        <v>0</v>
      </c>
      <c r="BK9" s="176">
        <f>IF(Jul!W15&gt;0,Jul!W14,IF(AY9=AX9,0,IF(AND(SUM(BH8:BL8)&gt;0,AY8=AY9),BK8,IF(AX8=AY9,BF8,IF(AND(SUM(BH7:BL7)&gt;0,AY7=AY9),BK7,IF(AY9=AX7,BF7,IF(AND(SUM(BH6:BL6)&gt;0,AY6=AY9),BK6,IF(AY9=AX6,BF6,IF(AND(SUM(BH5:BL5)&gt;0,AY5=AY9),BK5,IF(AY9=AX5,BF5,IF(AND(SUM(BH4:BL4)&gt;0,AY4=AY9),BK4,IF(AY9=AX4,BF4,IF(AND(SUM(BH3:BL3)&gt;0,AY3=AY9),BK3,IF(AY9=AX3,BF3,IF(AND(SUM(AX3:AX9)=0,SUM(AY3:AY8)=0),B39,0)))))))))))))))</f>
        <v>0</v>
      </c>
      <c r="BL9" s="183">
        <f>IF(Jul!W16&gt;0,Jul!W16,IF(AY9=AX9,0,IF(AND(SUM(BH8:BL8)&gt;0,AY8=AY9),BL8,IF(AX8=AY9,BG8,IF(AND(SUM(BH7:BL7)&gt;0,AY7=AY9),BL7,IF(AY9=AX7,BG7,IF(AND(SUM(BH6:BL6)&gt;0,AY6=AY9),BL6,IF(AY9=AX6,BG6,IF(AND(SUM(BH5:BL5)&gt;0,AY5=AY9),BL5,IF(AY9=AX5,BG5,IF(AND(SUM(BH4:BL4)&gt;0,AY4=AY9),BL4,IF(AY9=AX4,BG4,IF(AND(SUM(BH3:BL3)&gt;0,AY3=AY9),BL3,IF(AY9=AX3,BG3,IF(AND(SUM(AX3:AX9)=0,SUM(AY3:AY8)=0),B40,0)))))))))))))))</f>
        <v>0</v>
      </c>
      <c r="BM9" s="40">
        <f t="shared" si="16"/>
        <v>1</v>
      </c>
      <c r="BN9" s="1">
        <f t="shared" si="17"/>
        <v>0</v>
      </c>
    </row>
    <row r="10" spans="1:66" x14ac:dyDescent="0.2">
      <c r="A10" s="149" t="s">
        <v>87</v>
      </c>
      <c r="B10" s="58"/>
      <c r="C10" s="117" t="s">
        <v>52</v>
      </c>
      <c r="D10" s="150" t="str">
        <f>IF(B10="","",IF(J10&gt;=17,I10+1,I10+0.5))</f>
        <v/>
      </c>
      <c r="E10" s="167">
        <f>IF(B10="",0,IF(DAY(B10)=1,1,0.5))</f>
        <v>0</v>
      </c>
      <c r="F10" s="167">
        <f>IF(DAY(B10)=15,MONTH(B10)+0.5,MONTH(B10))</f>
        <v>1</v>
      </c>
      <c r="G10" s="275"/>
      <c r="H10">
        <f>B11-B10</f>
        <v>0</v>
      </c>
      <c r="I10">
        <f>DATEDIF(B10,B11,"ym")</f>
        <v>0</v>
      </c>
      <c r="J10">
        <f>DATEDIF(B10,B11,"md")</f>
        <v>0</v>
      </c>
      <c r="K10" s="1">
        <v>7</v>
      </c>
      <c r="L10" s="1">
        <v>2</v>
      </c>
      <c r="M10" s="1">
        <f t="shared" si="4"/>
        <v>3.25</v>
      </c>
      <c r="N10" s="1">
        <v>4.5</v>
      </c>
      <c r="O10" s="1">
        <f t="shared" si="5"/>
        <v>5.75</v>
      </c>
      <c r="P10" s="1">
        <v>7</v>
      </c>
      <c r="Q10" s="1">
        <f t="shared" si="6"/>
        <v>8.125</v>
      </c>
      <c r="R10" s="1">
        <v>9.25</v>
      </c>
      <c r="S10" s="1">
        <f t="shared" si="7"/>
        <v>10.375</v>
      </c>
      <c r="T10" s="1">
        <v>11.5</v>
      </c>
      <c r="U10" s="1">
        <f t="shared" si="8"/>
        <v>12.75</v>
      </c>
      <c r="V10" s="1">
        <v>14</v>
      </c>
      <c r="W10" s="1">
        <f t="shared" si="9"/>
        <v>15.125</v>
      </c>
      <c r="X10" s="1">
        <v>16.25</v>
      </c>
      <c r="Y10" s="1">
        <f t="shared" si="10"/>
        <v>17.375</v>
      </c>
      <c r="Z10" s="1">
        <v>18.5</v>
      </c>
      <c r="AA10" s="1">
        <f t="shared" si="11"/>
        <v>19.75</v>
      </c>
      <c r="AB10" s="1">
        <v>21</v>
      </c>
      <c r="AC10" s="1">
        <f t="shared" si="12"/>
        <v>22.125</v>
      </c>
      <c r="AD10" s="1">
        <v>23.25</v>
      </c>
      <c r="AE10" s="1">
        <f t="shared" si="13"/>
        <v>24.375</v>
      </c>
      <c r="AF10" s="1">
        <v>25.5</v>
      </c>
      <c r="AG10" s="1">
        <f t="shared" si="14"/>
        <v>26.75</v>
      </c>
      <c r="AH10" s="1">
        <v>28</v>
      </c>
      <c r="AI10" s="1">
        <v>3.5</v>
      </c>
      <c r="AJ10" s="1">
        <f t="shared" si="18"/>
        <v>0</v>
      </c>
      <c r="AK10" s="1">
        <f t="shared" si="19"/>
        <v>0</v>
      </c>
      <c r="AL10" s="1">
        <f t="shared" si="20"/>
        <v>0</v>
      </c>
      <c r="AM10" s="1">
        <f t="shared" si="21"/>
        <v>0</v>
      </c>
      <c r="AP10" s="1">
        <f t="shared" si="22"/>
        <v>0</v>
      </c>
      <c r="AQ10" s="1">
        <f t="shared" si="26"/>
        <v>0</v>
      </c>
      <c r="AR10" s="1">
        <f t="shared" si="27"/>
        <v>0</v>
      </c>
      <c r="AT10" s="1">
        <v>7</v>
      </c>
      <c r="AU10" s="1">
        <f t="shared" si="1"/>
        <v>0</v>
      </c>
      <c r="AV10" s="1" t="str">
        <f t="shared" si="15"/>
        <v/>
      </c>
      <c r="AW10" s="170">
        <v>8</v>
      </c>
      <c r="AX10" s="173">
        <f t="shared" si="2"/>
        <v>0</v>
      </c>
      <c r="AY10" s="174">
        <f t="shared" si="0"/>
        <v>0</v>
      </c>
      <c r="AZ10" s="40"/>
      <c r="BA10" s="40">
        <f>IF(AND(AX10=AX9,BC10=BC9,BD10=BD9,BE10=BE9,BF10=BF9,BG10=BG9),BA9,IF(AND(AX10=AX8,SUM(BC10:BG10)=0,SUM(BC8:BG8)&gt;0),BA8,IF(AND(AX10=AX7,SUM(BC10:BG10)=0,SUM(BC7:BG7)&gt;0),BA7,IF(AND(AX10=AX6,SUM(BC10:BG10)=0,SUM(BC6:BG6)&gt;0),BA6,IF(AND(AX10=AX5,SUM(BC10:BG10)=0,SUM(BC5:BG5)&gt;0),BA5,IF(AND(AX10=AX4,SUM(BC10:BG10)=0,SUM(BC4:BG4)&gt;0),BA4,IF(AND(AX10=AX3,SUM(BC10:BG10)=0,SUM(BC3:BG3)&gt;0),BA3,BA9+1)))))))</f>
        <v>1</v>
      </c>
      <c r="BB10" s="40">
        <f t="shared" si="3"/>
        <v>0</v>
      </c>
      <c r="BC10" s="182">
        <f>IF(Aug!W3&gt;0,Aug!W3,IF(AND(SUM(BH9:BL9)&gt;0,AY9=AX10),BH9,IF(AX10=AX9,BC9,IF(AND(SUM(BH8:BL8)&gt;0,AY8=AX10),BH8,IF(AX10=AX8,BC8,IF(AND(SUM(BH7:BL7)&gt;0,AY7=AX10),BH7,IF(AX10=AX7,BC7,IF(AND(SUM(BH6:BL6)&gt;0,AY6=AX10),BH6,IF(AX10=AX6,BC6,IF(AND(SUM(BH5:BL5)&gt;0,AY5=AX10),BH5,IF(AX5=AX10,BC5,IF(AND(SUM(BH4:BL4)&gt;0,AY4=AX10),BH4,IF(AX4=AX10,BC4,IF(AND(SUM(BH3:BL3)&gt;0,AY3=AX10),BH3,IF(AX3=AX10,BC3,IF(AND(SUM(AX3:AX8)=0,SUM(AY3:AY8)=0),B36,0))))))))))))))))</f>
        <v>0</v>
      </c>
      <c r="BD10" s="176">
        <f>IF(Aug!W4&gt;0,Aug!W4,IF(AND(SUM(BH9:BL9)&gt;0,AY9=AX10),BI9,IF(AX10=AX9,BD9,IF(AND(SUM(BH8:BL8)&gt;0,AY8=AX10),BI8,IF(AX10=AX8,BD8,IF(AND(SUM(BH7:BL7)&gt;0,AY7=AX10),BI7,IF(AX10=AX7,BD7,IF(AND(SUM(BH6:BL6)&gt;0,AY6=AX10),BI6,IF(AX10=AX6,BD6,IF(AND(SUM(BH5:BL5)&gt;0,AY5=AX10),BI5,IF(AX5=AX10,BD5,IF(AND(SUM(BH4:BL4)&gt;0,AY4=AX10),BI4,IF(AX4=AX10,BD4,IF(AND(SUM(BH3:BL3)&gt;0,AY3=AX10),BI3,IF(AX3=AX10,BD3,IF(AND(SUM(AX3:AX8)=0,SUM(AY3:AY8)=0),B37,0))))))))))))))))</f>
        <v>0</v>
      </c>
      <c r="BE10" s="176">
        <f>IF(Aug!W5&gt;0,Aug!W5,IF(AND(SUM(BH9:BL9)&gt;0,AY9=AX10),BJ9,IF(AX10=AX9,BE9,IF(AND(SUM(BH8:BL8)&gt;0,AY8=AX10),BJ8,IF(AX10=AX8,BE8,IF(AND(SUM(BH7:BL7)&gt;0,AY7=AX10),BJ7,IF(AX10=AX7,BE7,IF(AND(SUM(BH6:BL6)&gt;0,AY6=AX10),BJ6,IF(AX10=AX6,BE6,IF(AND(SUM(BH5:BL5)&gt;0,AY5=AX10),BJ5,IF(AX5=AX10,BE5,IF(AND(SUM(BH4:BL4)&gt;0,AY4=AX10),BJ4,IF(AX4=AX10,BE4,IF(AND(SUM(BH3:BL3)&gt;0,AY3=AX10),BJ3,IF(AX3=AX10,BE3,IF(AND(SUM(AX3:AX8)=0,SUM(AY3:AY8)=0),B38,0))))))))))))))))</f>
        <v>0</v>
      </c>
      <c r="BF10" s="176">
        <f>IF(Aug!W6&gt;0,Aug!W6,IF(AND(SUM(BH9:BL9)&gt;0,AY9=AX10),BK9,IF(AX10=AX9,BF9,IF(AND(SUM(BH8:BL8)&gt;0,AY8=AX10),BK8,IF(AX10=AX8,BF8,IF(AND(SUM(BH7:BL7)&gt;0,AY7=AX10),BK7,IF(AX10=AX7,BF7,IF(AND(SUM(BH6:BL6)&gt;0,AY6=AX10),BK6,IF(AX10=AX6,BF6,IF(AND(SUM(BH5:BL5)&gt;0,AY5=AX10),BK5,IF(AX5=AX10,BF5,IF(AND(SUM(BH4:BL4)&gt;0,AY4=AX10),BK4,IF(AX4=AX10,BF4,IF(AND(SUM(BH3:BL3)&gt;0,AY3=AX10),BK3,IF(AX3=AX10,BF3,IF(AND(SUM(AX3:AX8)=0,SUM(AY3:AY8)=0),B39,0))))))))))))))))</f>
        <v>0</v>
      </c>
      <c r="BG10" s="183">
        <f>IF(Aug!W7&gt;0,Aug!W7,IF(AND(SUM(BH9:BL9)&gt;0,AY9=AX10),BL9,IF(AX10=AX9,BG9,IF(AND(SUM(BH8:BL8)&gt;0,AY8=AX10),BL8,IF(AX10=AX8,BG8,IF(AND(SUM(BH7:BL7)&gt;0,AY7=AX10),BL7,IF(AX10=AX7,BG7,IF(AND(SUM(BH6:BL6)&gt;0,AY6=AX10),BL6,IF(AX10=AX6,BG6,IF(AND(SUM(BH5:BL5)&gt;0,AY5=AX10),BL5,IF(AX5=AX10,BG5,IF(AND(SUM(BH4:BL4)&gt;0,AY4=AX10),BL4,IF(AX4=AX10,BG4,IF(AND(SUM(BH3:BL3)&gt;0,AY3=AX10),BL3,IF(AX3=AX10,BG3,IF(AND(SUM(AX3:AX8)=0,SUM(AY3:AY8)=0),B40,0))))))))))))))))</f>
        <v>0</v>
      </c>
      <c r="BH10" s="182">
        <f>IF(Aug!W12&gt;0,Aug!W12,IF(AY10=AX10,0,IF(AND(SUM(BH9:BL9)&gt;0,AY9=AY10),BH9,IF(AX9=AY10,BC9,IF(AND(SUM(BH8:BL8)&gt;0,AY8=AY10),BH8,IF(AY10=AX8,BC8,IF(AND(SUM(BH7:BL7)&gt;0,AY7=AY10),BH7,IF(AY10=AX7,BC7,IF(AND(SUM(BH6:BL6)&gt;0,AY6=AY10),BH6,IF(AY10=AX6,BC6,IF(AND(SUM(BH5:BL5)&gt;0,AY5=AY10),BH5,IF(AY10=AX5,BC5,IF(AND(SUM(BH4:BL4)&gt;0,AY4=AY10),BH4,IF(AY10=AX4,BC4,IF(AND(SUM(BH3:BL3)&gt;0,AY3=AY10),BH3,IF(AY10=AX3,BC3,IF(AND(SUM(AX3:AX10)=0,SUM(AY3:AY9)=0),B36,0)))))))))))))))))</f>
        <v>0</v>
      </c>
      <c r="BI10" s="176">
        <f>IF(Aug!W13&gt;0,Aug!W13,IF(AY10=AX10,0,IF(AND(SUM(BH9:BL9)&gt;0,AY9=AY10),BI9,IF(AX9=AY10,BD9,IF(AND(SUM(BH8:BL8)&gt;0,AY8=AY10),BI8,IF(AY10=AX8,BD8,IF(AND(SUM(BH7:BL7)&gt;0,AY7=AY10),BI7,IF(AY10=AX7,BD7,IF(AND(SUM(BH6:BL6)&gt;0,AY6=AY10),BI6,IF(AY10=AX6,BD6,IF(AND(SUM(BH5:BL5)&gt;0,AY5=AY10),BI5,IF(AY10=AX5,BD5,IF(AND(SUM(BH4:BL4)&gt;0,AY4=AY10),BI4,IF(AY10=AX4,BD4,IF(AND(SUM(BH3:BL3)&gt;0,AY3=AY10),BI3,IF(AY10=AX3,BD3,IF(AND(SUM(AX3:AX10)=0,SUM(AY3:AY9)=0),B37,0)))))))))))))))))</f>
        <v>0</v>
      </c>
      <c r="BJ10" s="176">
        <f>IF(Aug!W14&gt;0,Aug!W14,IF(AY10=AX10,0,IF(AND(SUM(BH9:BL9)&gt;0,AY9=AY10),BJ9,IF(AX9=AY10,BE9,IF(AND(SUM(BH8:BL8)&gt;0,AY8=AY10),BJ8,IF(AY10=AX8,BE8,IF(AND(SUM(BH7:BL7)&gt;0,AY7=AY10),BJ7,IF(AY10=AX7,BE7,IF(AND(SUM(BH6:BL6)&gt;0,AY6=AY10),BJ6,IF(AY10=AX6,BE6,IF(AND(SUM(BH5:BL5)&gt;0,AY5=AY10),BJ5,IF(AY10=AX5,BE5,IF(AND(SUM(BH4:BL4)&gt;0,AY4=AY10),BJ4,IF(AY10=AX4,BE4,IF(AND(SUM(BH3:BL3)&gt;0,AY3=AY10),BJ3,IF(AY10=AX3,BE3,IF(AND(SUM(AX3:AX10)=0,SUM(AY3:AY9)=0),B38,0)))))))))))))))))</f>
        <v>0</v>
      </c>
      <c r="BK10" s="176">
        <f>IF(Aug!W15&gt;0,Aug!W15,IF(AY10=AX10,0,IF(AND(SUM(BH9:BL9)&gt;0,AY9=AY10),BK9,IF(AX9=AY10,BF9,IF(AND(SUM(BH8:BL8)&gt;0,AY8=AY10),BK8,IF(AY10=AX8,BF8,IF(AND(SUM(BH7:BL7)&gt;0,AY7=AY10),BK7,IF(AY10=AX7,BF7,IF(AND(SUM(BH6:BL6)&gt;0,AY6=AY10),BK6,IF(AY10=AX6,BF6,IF(AND(SUM(BH5:BL5)&gt;0,AY5=AY10),BK5,IF(AY10=AX5,BF5,IF(AND(SUM(BH4:BL4)&gt;0,AY4=AY10),BK4,IF(AY10=AX4,BF4,IF(AND(SUM(BH3:BL3)&gt;0,AY3=AY10),BK3,IF(AY10=AX3,BF3,IF(AND(SUM(AX3:AX10)=0,SUM(AY3:AY9)=0),B39,0)))))))))))))))))</f>
        <v>0</v>
      </c>
      <c r="BL10" s="183">
        <f>IF(Aug!W16&gt;0,Aug!W16,IF(AY10=AX10,0,IF(AND(SUM(BH9:BL9)&gt;0,AY9=AY10),BL9,IF(AX9=AY10,BG9,IF(AND(SUM(BH8:BL8)&gt;0,AY8=AY10),BL8,IF(AY10=AX8,BG8,IF(AND(SUM(BH7:BL7)&gt;0,AY7=AY10),BL7,IF(AY10=AX7,BG7,IF(AND(SUM(BH6:BL6)&gt;0,AY6=AY10),BL6,IF(AY10=AX6,BG6,IF(AND(SUM(BH5:BL5)&gt;0,AY5=AY10),BL5,IF(AY10=AX5,BG5,IF(AND(SUM(BH4:BL4)&gt;0,AY4=AY10),BL4,IF(AY10=AX4,BG4,IF(AND(SUM(BH3:BL3)&gt;0,AY3=AY10),BL3,IF(AY10=AX3,BG3,IF(AND(SUM(AX3:AX10)=0,SUM(AY3:AY9)=0),B40,0)))))))))))))))))</f>
        <v>0</v>
      </c>
      <c r="BM10" s="40">
        <f t="shared" si="16"/>
        <v>1</v>
      </c>
      <c r="BN10" s="1">
        <f t="shared" si="17"/>
        <v>0</v>
      </c>
    </row>
    <row r="11" spans="1:66" x14ac:dyDescent="0.2">
      <c r="A11" s="151" t="s">
        <v>88</v>
      </c>
      <c r="B11" s="59"/>
      <c r="C11" s="71" t="s">
        <v>54</v>
      </c>
      <c r="D11" s="152"/>
      <c r="E11" s="167">
        <f>IF(B11="",0,IF(DAY(B11)&gt;15,1,0.5))</f>
        <v>0</v>
      </c>
      <c r="F11" s="167">
        <f>IF(DAY(B11)=14,MONTH(B11),MONTH(B11)+0.5)</f>
        <v>1.5</v>
      </c>
      <c r="G11" s="275"/>
      <c r="K11" s="1">
        <v>8</v>
      </c>
      <c r="L11" s="1">
        <v>2.5</v>
      </c>
      <c r="M11" s="1">
        <f t="shared" si="4"/>
        <v>3.875</v>
      </c>
      <c r="N11" s="1">
        <v>5.25</v>
      </c>
      <c r="O11" s="1">
        <f t="shared" si="5"/>
        <v>6.625</v>
      </c>
      <c r="P11" s="1">
        <v>8</v>
      </c>
      <c r="Q11" s="1">
        <f t="shared" si="6"/>
        <v>9.25</v>
      </c>
      <c r="R11" s="1">
        <v>10.5</v>
      </c>
      <c r="S11" s="1">
        <f t="shared" si="7"/>
        <v>11.875</v>
      </c>
      <c r="T11" s="1">
        <v>13.25</v>
      </c>
      <c r="U11" s="1">
        <f t="shared" si="8"/>
        <v>14.625</v>
      </c>
      <c r="V11" s="1">
        <v>16</v>
      </c>
      <c r="W11" s="1">
        <f t="shared" si="9"/>
        <v>17.25</v>
      </c>
      <c r="X11" s="1">
        <v>18.5</v>
      </c>
      <c r="Y11" s="1">
        <f t="shared" si="10"/>
        <v>19.875</v>
      </c>
      <c r="Z11" s="1">
        <v>21.25</v>
      </c>
      <c r="AA11" s="1">
        <f t="shared" si="11"/>
        <v>22.625</v>
      </c>
      <c r="AB11" s="1">
        <v>24</v>
      </c>
      <c r="AC11" s="1">
        <f t="shared" si="12"/>
        <v>25.25</v>
      </c>
      <c r="AD11" s="1">
        <v>26.5</v>
      </c>
      <c r="AE11" s="1">
        <f t="shared" si="13"/>
        <v>27.875</v>
      </c>
      <c r="AF11" s="1">
        <v>29.25</v>
      </c>
      <c r="AG11" s="1">
        <f t="shared" si="14"/>
        <v>30.625</v>
      </c>
      <c r="AH11" s="1">
        <v>32</v>
      </c>
      <c r="AI11" s="1">
        <v>4</v>
      </c>
      <c r="AJ11" s="1">
        <f t="shared" si="18"/>
        <v>0</v>
      </c>
      <c r="AK11" s="1">
        <f t="shared" si="19"/>
        <v>0</v>
      </c>
      <c r="AL11" s="1">
        <f t="shared" si="20"/>
        <v>0</v>
      </c>
      <c r="AM11" s="1">
        <f t="shared" si="21"/>
        <v>0</v>
      </c>
      <c r="AP11" s="1">
        <f t="shared" si="22"/>
        <v>0</v>
      </c>
      <c r="AQ11" s="1">
        <f t="shared" si="26"/>
        <v>0</v>
      </c>
      <c r="AR11" s="1">
        <f t="shared" si="27"/>
        <v>0</v>
      </c>
      <c r="AT11" s="1">
        <v>8</v>
      </c>
      <c r="AU11" s="1">
        <f t="shared" si="1"/>
        <v>0</v>
      </c>
      <c r="AV11" s="1" t="str">
        <f t="shared" si="15"/>
        <v/>
      </c>
      <c r="AW11" s="170">
        <v>9</v>
      </c>
      <c r="AX11" s="173">
        <f t="shared" si="2"/>
        <v>0</v>
      </c>
      <c r="AY11" s="174">
        <f t="shared" si="0"/>
        <v>0</v>
      </c>
      <c r="AZ11" s="40"/>
      <c r="BA11" s="40">
        <f>IF(AND(AX11=AX10,BC11=BC10,BD11=BD10,BE11=BE10,BF11=BF10,BG11=BG10),BA10,IF(AND(AX11=AX9,SUM(BC11:BG11)=0,SUM(BC9:BG9)&gt;0),BA9,IF(AND(AX11=AX8,SUM(BC11:BG11)=0,SUM(BC8:BG8)&gt;0),BA8,IF(AND(AX11=AX7,SUM(BC11:BG11)=0,SUM(BC7:BG7)&gt;0),BA7,IF(AND(AX11=AX6,SUM(BC11:BG11)=0,SUM(BC6:BG6)&gt;0),BA6,IF(AND(AX11=AX5,SUM(BC11:BG11)=0,SUM(BC5:BG5)&gt;0),BA5,IF(AND(AX11=AX4,SUM(BC11:BG11)=0,SUM(BC4:BG4)&gt;0),BA4,IF(AND(AX11=AX3,SUM(BC11:BG11)=0,SUM(BC3:BG3)&gt;0),BA3,BA10+1))))))))</f>
        <v>1</v>
      </c>
      <c r="BB11" s="40">
        <f t="shared" si="3"/>
        <v>0</v>
      </c>
      <c r="BC11" s="182">
        <f>IF(Sep!W3&gt;0,Sep!W3,IF(AND(SUM(BH10:BL10)&gt;0,AY10=AX11),BH10,IF(AX11=AX10,BC10,IF(AND(SUM(BH9:BL9)&gt;0,AY9=AX11),BH9,IF(AX11=AX9,BC9,IF(AND(SUM(BH8:BL8)&gt;0,AY8=AX11),BH8,IF(AX11=AX8,BC8,IF(AND(SUM(BH7:BL7)&gt;0,AY7=AX11),BH7,IF(AX11=AX7,BC7,IF(AND(SUM(BH6:BL6)&gt;0,AY6=AX11),BH6,IF(AX11=AX6,BC6,IF(AND(SUM(BH5:BL5)&gt;0,AY5=AX11),BH5,IF(AX5=AX11,BC5,IF(AND(SUM(BH4:BL4)&gt;0,AY4=AX11),BH4,IF(AX4=AX11,BC4,IF(AND(SUM(BH3:BL3)&gt;0,AY3=AX11),BH3,IF(AX3=AX11,BC3,IF(AND(SUM(AX3:AX9)=0,SUM(AY3:AY9)=0),B36,0))))))))))))))))))</f>
        <v>0</v>
      </c>
      <c r="BD11" s="176">
        <f>IF(Sep!W4&gt;0,Sep!W4,IF(AND(SUM(BH10:BL10)&gt;0,AY10=AX11),BI10,IF(AX11=AX10,BD10,IF(AND(SUM(BH9:BL9)&gt;0,AY9=AX11),BI9,IF(AX11=AX9,BD9,IF(AND(SUM(BH8:BL8)&gt;0,AY8=AX11),BI8,IF(AX11=AX8,BD8,IF(AND(SUM(BH7:BL7)&gt;0,AY7=AX11),BI7,IF(AX11=AX7,BD7,IF(AND(SUM(BH6:BL6)&gt;0,AY6=AX11),BI6,IF(AX11=AX6,BD6,IF(AND(SUM(BH5:BL5)&gt;0,AY5=AX11),BI5,IF(AX5=AX11,BD5,IF(AND(SUM(BH4:BL4)&gt;0,AY4=AX11),BI4,IF(AX4=AX11,BD4,IF(AND(SUM(BH3:BL3)&gt;0,AY3=AX11),BI3,IF(AX3=AX11,BD3,IF(AND(SUM(AX3:AX9)=0,SUM(AY3:AY9)=0),B37,0))))))))))))))))))</f>
        <v>0</v>
      </c>
      <c r="BE11" s="176">
        <f>IF(Sep!W5&gt;0,Sep!W5,IF(AND(SUM(BH10:BL10)&gt;0,AY10=AX11),BJ10,IF(AX10=AX11,BE10,IF(AND(SUM(BH9:BL9)&gt;0,AY9=AX11),BJ9,IF(AX11=AX9,BE9,IF(AND(SUM(BH8:BL8)&gt;0,AY8=AX11),BJ8,IF(AX11=AX8,BE8,IF(AND(SUM(BH7:BL7)&gt;0,AY7=AX11),BJ7,IF(AX11=AX7,BE7,IF(AND(SUM(BH6:BL6)&gt;0,AY6=AX11),BJ6,IF(AX11=AX6,BE6,IF(AND(SUM(BH5:BL5)&gt;0,AY5=AX11),BJ5,IF(AX11=AX5,BE5,IF(AND(SUM(BH4:BL4)&gt;0,AY4=AX11),BJ4,ENN(AX11=AX4,BE4,IF(AND(SUM(BH3:BL3)&gt;0,AY3=AX11),BJ3,IF(AX11=AX3,BE3,IF(AND(SUM(AX3:AX9)=0,SUM(AY3:AY9)=0),B38,0))))))))))))))))))</f>
        <v>0</v>
      </c>
      <c r="BF11" s="176">
        <f>IF(Sep!W6&gt;0,Sep!W6,IF(AND(SUM(BH10:BL10)&gt;0,AY10=AX11),BK10,IF(AX11=AX10,BF10,IF(AND(SUM(BH9:BL9)&gt;0,AY9=AX11),BK9,IF(AX10=AX9,BF9,IF(AND(SUM(BH8:BL8)&gt;0,AY8=AX11),BK8,IF(AX11=AX8,BF8,IF(AND(SUM(BH7:BL7)&gt;0,AY7=AX11),BK7,IF(AX11=AX7,BF7,IF(AND(SUM(BH6:BL6)&gt;0,AY6=AX11),BK6,IF(AX11=AX6,BF6,IF(AND(SUM(BH5:BL5)&gt;0,AY5=AX11),BK5,IF(AX11=AX5,BF5,IF(AND(SUM(BH4:BL4)&gt;0,AY4=AX11),BK4,IF(AX11=AX4,BF4,IF(AND(SUM(BH3:BL3)&gt;0,AY3=AX11),BK3,IF(AX11=AX3,BF3,IF(AND(SUM(AX3:AX9)=0,SUM(AY3:AY9)=0),B39,0))))))))))))))))))</f>
        <v>0</v>
      </c>
      <c r="BG11" s="183">
        <f>IF(Sep!W7&gt;0,Sep!W7,IF(AND(SUM(BH10:BL10)&gt;0,AY10=AX11),BL10,IF(AX11=AX10,BG10,IF(AND(SUM(BH9:BL9)&gt;0,AY9=AX11),BL9,IF(AX10=AX9,BG9,IF(AND(SUM(BH8:BL8)&gt;0,AY8=AX11),BL8,IF(AX11=AX8,BG8,IF(AND(SUM(BH7:BL7)&gt;0,AY7=AX11),BL7,IF(AX11=AX7,BG7,IF(AND(SUM(BH6:BL6)&gt;0,AY6=AX11),BL6,IF(AX11=AX6,BG6,IF(AND(SUM(BH5:BL5)&gt;0,AY5=AX11),BL5,IF(AX11=AX5,BG5,IF(AND(SUM(BH4:BL4)&gt;0,AY4=AX11),BL4,IF(AX11=AX4,BG4,IF(AND(SUM(BH3:BL3)&gt;0,AY3=AX11),BL3,IF(AX11=AX3,BG3,IF(AND(SUM(AX3:AX9)=0,SUM(AY3:AY9)=0),B40,0))))))))))))))))))</f>
        <v>0</v>
      </c>
      <c r="BH11" s="182">
        <f>IF(Sep!W12&gt;0,Sep!W12,IF(AY11=AX11,0,IF(AND(SUM(BH10:BL10)&gt;0,AY10=AY11),BH10,IF(AX10=AY11,BC10,IF(AND(SUM(BH9:BL9)&gt;0,AY9=AY11),BH9,IF(AY11=AX9,BC9,IF(AND(SUM(BH8:BL8)&gt;0,AY8=AY11),BH8,IF(AY11=AX8,BC8,IF(AND(SUM(BH7:BL7)&gt;0,AY7=AY11),BH7,IF(AY11=AX7,BC7,IF(AND(SUM(BH6:BL6)&gt;0,AY6=AY11),BH6,IF(AY11=AX6,BC6,IF(AND(SUM(BH5:BL5)&gt;0,AY5=AY11),BH5,IF(AY11=AX5,BC5,IF(AND(SUM(BH4:BL4)&gt;0,AY4=AY11),BH4,IF(AY11=AX4,BC4,IF(AND(SUM(BH3:BL3)&gt;0,AY3=AY11),BH3,IF(AY11=AX3,BC3,IF(AND(SUM(AX3:AX11)=0,SUM(AY3:AY10)=0),B36,0)))))))))))))))))))</f>
        <v>0</v>
      </c>
      <c r="BI11" s="176">
        <f>IF(Sep!W13&gt;0,Sep!W13,IF(AY11=AX11,0,IF(AND(SUM(BH10:BL10)&gt;0,AY10=AY11),BI10,IF(AX10=AY11,BD10,IF(AND(SUM(BH9:BL9)&gt;0,AY9=AY11),BI9,IF(AY11=AX9,BD9,IF(AND(SUM(BH8:BL8)&gt;0,AY8=AY11),BI8,IF(AY11=AX8,BD8,IF(AND(SUM(BH7:BL7)&gt;0,AY7=AY11),BI7,IF(AY11=AX7,BD7,IF(AND(SUM(BH6:BL6)&gt;0,AY6=AY11),BI6,IF(AY11=AX6,BD6,IF(AND(SUM(BH5:BL5)&gt;0,AY5=AY11),BI5,IF(AY11=AX5,BD5,IF(AND(SUM(BH4:BL4)&gt;0,AY4=AY11),BI4,IF(AY11=AX4,BD4,IF(AND(SUM(BH3:BL3)&gt;0,AY3=AY11),BI3,IF(AY11=AX3,BD3,IF(AND(SUM(AX3:AX11)=0,SUM(AY3:AY10)=0),B37,0)))))))))))))))))))</f>
        <v>0</v>
      </c>
      <c r="BJ11" s="176">
        <f>IF(Sep!W14&gt;0,Sep!W14,IF(AY11=AX11,0,IF(AND(SUM(BH10:BL10)&gt;0,AY10=AY11),BJ10,IF(AX10=AY11,BE10,IF(AND(SUM(BH9:BL9)&gt;0,AY9=AY11),BJ9,IF(AY11=AX9,BE9,IF(AND(SUM(BH8:BL8)&gt;0,AY8=AY11),BJ8,IF(AY11=AX8,BE8,IF(AND(SUM(BH7:BL7)&gt;0,AY7=AY11),BJ7,IF(AY11=AX7,BE7,IF(AND(SUM(BH6:BL6)&gt;0,AY6=AY11),BJ6,IF(AY11=AX6,BE6,IF(AND(SUM(BH5:BL5)&gt;0,AY5=AY11),BJ5,IF(AY11=AX5,BE5,IF(AND(SUM(BH4:BL4)&gt;0,AY4=AY11),BJ4,IF(AY11=AX4,BE4,IF(AND(SUM(BH3:BL3)&gt;0,AY3=AY11),BJ3,IF(AY11=AX3,BE3,IF(AND(SUM(AX3:AX11)=0,SUM(AY3:AY10)=0),B38,0)))))))))))))))))))</f>
        <v>0</v>
      </c>
      <c r="BK11" s="176">
        <f>IF(Sep!W15&gt;0,Sep!W15,IF(AY11=AX11,0,IF(AND(SUM(BH10:BL10)&gt;0,AY10=AY11),BK10,IF(AX10=AY11,BF10,IF(AND(SUM(BH9:BL9)&gt;0,AY9=AY11),BK9,IF(AY11=AX9,BF9,IF(AND(SUM(BH8:BL8)&gt;0,AY8=AY11),BK8,IF(AY11=AX8,BF8,IF(AND(SUM(BH7:BL7)&gt;0,AY7=AY11),BK7,IF(AY11=AX7,BF7,IF(AND(SUM(BH6:BL6)&gt;0,AY6=AY11),BK6,IF(AY11=AX6,BF6,IF(AND(SUM(BH5:BL5)&gt;0,AY5=AY11),BK5,IF(AY11=AX5,BF5,IF(AND(SUM(BH4:BL4)&gt;0,AY4=AY11),BK4,IF(AY11=AX4,BF4,IF(AND(SUM(BH3:BL3)&gt;0,AY3=AY11),BK3,IF(AY11=AX3,BF3,IF(AND(SUM(AX3:AX11)=0,SUM(AY3:AY10)=0),B39,0)))))))))))))))))))</f>
        <v>0</v>
      </c>
      <c r="BL11" s="183">
        <f>IF(Sep!W16&gt;0,Sep!W16,IF(AY11=AX11,0,IF(AND(SUM(BH10:BL10)&gt;0,AY10=AY11),BL10,IF(AX10=AY11,BG10,IF(AND(SUM(BH9:BL9)&gt;0,AY9=AY11),BL9,IF(AY11=AX9,BG9,IF(AND(SUM(BH8:BL8)&gt;0,AY8=AY11),BL8,IF(AY11=AX8,BG8,IF(AND(SUM(BH7:BL7)&gt;0,AY7=AY11),BL7,IF(AY11=AX7,BG7,IF(AND(SUM(BH6:BL6)&gt;0,AY6=AY11),BL6,IF(AY11=AX6,BG6,IF(AND(SUM(BH5:BL5)&gt;0,AY5=AY11),BL5,IF(AY11=AX5,BG5,IF(AND(SUM(BH4:BL4)&gt;0,AY4=AY11),BL4,IF(AY11=AX4,BG4,IF(AND(SUM(BH3:BL3)&gt;0,AY3=AY11),BL3,IF(AY11=AX3,BG3,IF(AND(SUM(AX3:AX11)=0,SUM(AY3:AY10)=0),B40,0)))))))))))))))))))</f>
        <v>0</v>
      </c>
      <c r="BM11" s="40">
        <f t="shared" si="16"/>
        <v>1</v>
      </c>
      <c r="BN11" s="1">
        <f t="shared" si="17"/>
        <v>0</v>
      </c>
    </row>
    <row r="12" spans="1:66" x14ac:dyDescent="0.2">
      <c r="A12" s="149" t="s">
        <v>87</v>
      </c>
      <c r="B12" s="58"/>
      <c r="C12" s="117" t="s">
        <v>52</v>
      </c>
      <c r="D12" s="150" t="str">
        <f>IF(B12="","",IF(J12&gt;=17,I12+1,I12+0.5))</f>
        <v/>
      </c>
      <c r="E12" s="167">
        <f t="shared" ref="E12" si="28">IF(B12="",0,IF(DAY(B12)=1,1,0.5))</f>
        <v>0</v>
      </c>
      <c r="F12" s="167">
        <f t="shared" ref="F12:F14" si="29">IF(DAY(B12)=15,MONTH(B12)+0.5,MONTH(B12))</f>
        <v>1</v>
      </c>
      <c r="G12" s="275"/>
      <c r="H12">
        <f>B13-B12</f>
        <v>0</v>
      </c>
      <c r="I12">
        <f>DATEDIF(B12,B13,"ym")</f>
        <v>0</v>
      </c>
      <c r="J12">
        <f>DATEDIF(B12,B13,"md")</f>
        <v>0</v>
      </c>
      <c r="K12" s="1">
        <v>9</v>
      </c>
      <c r="L12" s="1">
        <v>3</v>
      </c>
      <c r="M12" s="1">
        <f t="shared" si="4"/>
        <v>4.5</v>
      </c>
      <c r="N12" s="1">
        <v>6</v>
      </c>
      <c r="O12" s="1">
        <f t="shared" si="5"/>
        <v>7.5</v>
      </c>
      <c r="P12" s="1">
        <v>9</v>
      </c>
      <c r="Q12" s="1">
        <f t="shared" si="6"/>
        <v>10.5</v>
      </c>
      <c r="R12" s="1">
        <v>12</v>
      </c>
      <c r="S12" s="1">
        <f t="shared" si="7"/>
        <v>13.5</v>
      </c>
      <c r="T12" s="1">
        <v>15</v>
      </c>
      <c r="U12" s="1">
        <f t="shared" si="8"/>
        <v>16.5</v>
      </c>
      <c r="V12" s="1">
        <v>18</v>
      </c>
      <c r="W12" s="1">
        <f t="shared" si="9"/>
        <v>19.5</v>
      </c>
      <c r="X12" s="1">
        <v>21</v>
      </c>
      <c r="Y12" s="1">
        <f t="shared" si="10"/>
        <v>22.5</v>
      </c>
      <c r="Z12" s="1">
        <v>24</v>
      </c>
      <c r="AA12" s="1">
        <f t="shared" si="11"/>
        <v>25.5</v>
      </c>
      <c r="AB12" s="1">
        <v>27</v>
      </c>
      <c r="AC12" s="1">
        <f t="shared" si="12"/>
        <v>28.5</v>
      </c>
      <c r="AD12" s="1">
        <v>30</v>
      </c>
      <c r="AE12" s="1">
        <f t="shared" si="13"/>
        <v>31.5</v>
      </c>
      <c r="AF12" s="1">
        <v>33</v>
      </c>
      <c r="AG12" s="1">
        <f t="shared" si="14"/>
        <v>34.5</v>
      </c>
      <c r="AH12" s="1">
        <v>36</v>
      </c>
      <c r="AI12" s="1">
        <v>4.5</v>
      </c>
      <c r="AJ12" s="1">
        <f t="shared" si="18"/>
        <v>0</v>
      </c>
      <c r="AK12" s="1">
        <f t="shared" si="19"/>
        <v>0</v>
      </c>
      <c r="AL12" s="1">
        <f t="shared" si="20"/>
        <v>0</v>
      </c>
      <c r="AM12" s="1">
        <f t="shared" si="21"/>
        <v>0</v>
      </c>
      <c r="AP12" s="1">
        <f t="shared" si="22"/>
        <v>0</v>
      </c>
      <c r="AQ12" s="1">
        <f t="shared" si="26"/>
        <v>0</v>
      </c>
      <c r="AR12" s="1">
        <f t="shared" si="27"/>
        <v>0</v>
      </c>
      <c r="AT12" s="1">
        <v>9</v>
      </c>
      <c r="AU12" s="1">
        <f t="shared" si="1"/>
        <v>0</v>
      </c>
      <c r="AV12" s="1" t="str">
        <f t="shared" si="15"/>
        <v/>
      </c>
      <c r="AW12" s="170">
        <v>10</v>
      </c>
      <c r="AX12" s="173">
        <f t="shared" si="2"/>
        <v>0</v>
      </c>
      <c r="AY12" s="174">
        <f t="shared" si="0"/>
        <v>0</v>
      </c>
      <c r="AZ12" s="40"/>
      <c r="BA12" s="40">
        <f>IF(AND(AX12=AX11,BC12=BC11,BD12=BD11,BE12=BE11,BF12=BF11,BG12=BG11),BA11,IF(AND(AX12=AX10,SUM(BC12:BG12)=0,SUM(BC10:BG10)&gt;0),BA10,IF(AND(AX12=AX9,SUM(BC12:BG12)=0,SUM(BC9:BG9)&gt;0),BA9,IF(AND(AX12=AX8,SUM(BC12:BG12)=0,SUM(BC8:BG8)&gt;0),BA8,IF(AND(AX12=AX7,SUM(BC12:BG12)=0,SUM(BC7:BG7)&gt;0),BA7,IF(AND(AX12=AX6,SUM(BC12:BG12)=0,SUM(BC6:BG6)&gt;0),BA6,IF(AND(AX12=AX5,SUM(BC12:BG12)=0,SUM(BC5:BG5)&gt;0),BA5,IF(AND(AX12=AX4,SUM(BC12:BG12)=0,SUM(BC4:BG4)&gt;0),BA4,IF(AND(AX12=AX3,SUM(BC12:BG12)=0,SUM(BC3:BG3)&gt;0),BA3,BA11+1)))))))))</f>
        <v>1</v>
      </c>
      <c r="BB12" s="40">
        <f t="shared" si="3"/>
        <v>0</v>
      </c>
      <c r="BC12" s="182">
        <f>IF(Okt!W3&gt;0,Okt!W3,IF(AND(SUM(BH11:BL11)&gt;0,AY11=AX14),BH11,IF(AX12=AX11,BC11,IF(AND(SUM(BH10:BL10)&gt;0,AY10=AX12),BH10,IF(AX12=AX10,BC10,IF(AND(SUM(BH9:BL9)&gt;0,AY9=AX12),BH9,IF(AX12=AX9,BC9,IF(AND(SUM(BH8:BL8)&gt;0,AY8=AX12),BH8,IF(AX12=AX8,BC8,IF(AND(SUM(BH7:BL7)&gt;0,AY7=AX12),BH7,IF(AX12=AX7,BC7,IF(AND(SUM(BH6:BL6)&gt;0,AY6=AX12),BH6,IF(AX12=AX6,BC6,IF(AND(SUM(BH5:BL5)&gt;0,AY5=AX12),BH5,IF(AX5=AX12,BC5,IF(AND(SUM(BH4:BL4)&gt;0,AY4=AX12),BH4,IF(AX4=AX12,BC4,IF(AND(SUM(BH3:BL3)&gt;0,AY3=AX12),BH3,IF(AX3=AX12,BC3,IF(AND(SUM(AX3:AX10)=0,SUM(AY3:AY10)=0),B36,0))))))))))))))))))))</f>
        <v>0</v>
      </c>
      <c r="BD12" s="176">
        <f>IF(Okt!W4&gt;0,Okt!W4,IF(AND(SUM(BH11:BL11)&gt;0,AY11=AX12),BI11,IF(AX12=AX11,BD11,IF(AND(SUM(BH10:BL10)&gt;0,AY10=AX12),BI10,IF(AX12=AX10,BD10,IF(AND(SUM(BH9:BL9)&gt;0,AY9=AX12),BI9,IF(AX12=AX9,BD9,IF(AND(SUM(BH8:BL8)&gt;0,AY8=AX12),BI8,IF(AX12=AX8,BD8,IF(AND(SUM(BH7:BL7)&gt;0,AY7=AX12),BI7,IF(AX12=AX7,BD7,IF(AND(SUM(BH6:BL6)&gt;0,AY6=AX12),BI6,IF(AX12=AX6,BD6,IF(AND(SUM(BH5:BL5)&gt;0,AY5=AX12),BI5,IF(AX5=AX12,BD5,IF(AND(SUM(BH4:BL4)&gt;0,AY4=AX12),BI4,IF(AX4=AX12,BD4,IF(AND(SUM(BH3:BL3)&gt;0,AY3=AX12),BI3,IF(AX3=AX12,BD3,IF(AND(SUM(AX3:AX10)=0,SUM(AY3:AY10)=0),B37,0))))))))))))))))))))</f>
        <v>0</v>
      </c>
      <c r="BE12" s="176">
        <f>IF(Okt!W5&gt;0,Okt!W5,IF(AND(SUM(BH11:BL11)&gt;0,AY11=AX12),BJ11,IF(AX11=AX12,BE11,IF(AND(SUM(BH10:BL10)&gt;0,AY10=AX12),BJ10,IF(AX12=AX10,BE10,IF(AND(SUM(BH9:BL9)&gt;0,AY9=AX12),BJ9,IF(AX12=AX9,BE9,IF(AND(SUM(BH8:BL8)&gt;0,AY8=AX12),BJ8,IF(AX12=AX8,BE8,IF(AND(SUM(BH7:BL7)&gt;0,AY7=AX12),BJ7,IF(AX12=AX7,BE7,IF(AND(SUM(BH6:BL6)&gt;0,AY6=AX12),BJ6,IF(AX12=AX6,BE6,IF(AND(SUM(BH5:BL5)&gt;0,AY5=AX12),BJ5,ENN(AX12=AX5,BE5,IF(AND(SUM(BH4:BL4)&gt;0,AY4=AX12),BJ4,IF(AX12=AX4,BE4,IF(AND(SUM(BH3:BL3)&gt;0,AY3=AX12),BJ3,IF(AX3=AX12,BE3,IF(AND(SUM(AX3:AX10)=0,SUM(AY3:AY10)=0),B38,0))))))))))))))))))))</f>
        <v>0</v>
      </c>
      <c r="BF12" s="176">
        <f>IF(Okt!W6&gt;0,Okt!W6,IF(AND(SUM(BH11:BL11)&gt;0,AY11=AX12),BK11,IF(AX12=AX11,BF11,IF(AND(SUM(BH10:BL10)&gt;0,AY10=AX12),BK10,IF(AX11=AX10,BF10,IF(AND(SUM(BH9:BL9)&gt;0,AY9=AX12),BK9,IF(AX12=AX9,BF9,IF(AND(SUM(BH8:BL8)&gt;0,AY8=AX12),BK8,IF(AX12=AX8,BF8,IF(AND(SUM(BH7:BL7)&gt;0,AY7=AX12),BK7,IF(AX12=AX7,BF7,IF(AND(SUM(BH6:BL6)&gt;0,AY6=AX12),BK6,IF(AX12=AX6,BF6,IF(AND(SUM(BH5:BL5)&gt;0,AY5=AX12),BK5,IF(AX12=AX5,BF5,IF(AND(SUM(BH4:BL4)&gt;0,AY4=AX12),BK4,IF(AX12=AX4,BF4,IF(AND(SUM(BH3:BL3)&gt;0,AY3=AX12),BK3,IF(AX3=AX12,BF3,IF(AND(SUM(AX3:AX10)=0,SUM(AY3:AY10)=0),B39,0))))))))))))))))))))</f>
        <v>0</v>
      </c>
      <c r="BG12" s="183">
        <f>IF(Okt!W7&gt;0,Okt!W7,IF(AND(SUM(BH11:BL11)&gt;0,AY11=AX12),BL11,IF(AX12=AX11,BG11,IF(AND(SUM(BH10:BL10)&gt;0,AY10=AX12),BL10,IF(AX11=AX10,BG10,IF(AND(SUM(BH9:BL9)&gt;0,AY9=AX12),BL9,IF(AX12=AX9,BG9,IF(AND(SUM(BH8:BL8)&gt;0,AY8=AX12),BL8,IF(AX12=AX8,BG8,IF(AND(SUM(BH7:BL7)&gt;0,AY7=AX12),BL7,IF(AX12=AX7,BG7,IF(AND(SUM(BH6:BL6)&gt;0,AY6=AX12),BL6,IF(AX12=AX6,BG6,IF(AND(SUM(BH5:BL5)&gt;0,AY5=AX12),BL5,IF(AX12=AX5,BG5,IF(AND(SUM(BH4:BL4)&gt;0,AY4=AX12),BL4,IF(AX12=AX4,BG4,IF(AND(SUM(BH3:BL3)&gt;0,AY3=AX12),BL3,IF(AX3=AX12,BG3,IF(AND(SUM(AX3:AX10)=0,SUM(AY3:AY10)=0),B40,0))))))))))))))))))))</f>
        <v>0</v>
      </c>
      <c r="BH12" s="182">
        <f>IF(Okt!W12&gt;0,Okt!W12,IF(AY12=AX12,0,IF(AND(SUM(BH11:BL11)&gt;0,AY11=AY12),BH11,IF(AX11=AY12,BC11,IF(AND(SUM(BH10:BL10)&gt;0,AY10=AY12),BH10,IF(AY12=AX10,BC10,IF(AND(SUM(BH9:BL9)&gt;0,AY9=AY12),BH9,IF(AY12=AX9,BC9,IF(AND(SUM(BH8:BL8)&gt;0,AY8=AY12),BH8,IF(AY12=AX8,BC8,IF(AND(SUM(BH7:BL7)&gt;0,AY7=AY12),BH7,IF(AY12=AX7,BC7,IF(AND(SUM(BH6:BL6)&gt;0,AY6=AY12),BH6,IF(AY12=AX6,BC6,IF(AND(SUM(BH5:BL5)&gt;0,AY5=AY12),BH5,IF(AY12=AX5,BC5,IF(AND(SUM(BH4:BL4)&gt;0,AY4=AY12),BH4,IF(AY12=AX4,BC4,IF(AND(SUM(BH3:BL3)&gt;0,AY3=AY12),BH3,IF(AX3=AY12,BC3,IF(AND(SUM(AX3:AX12)=0,SUM(AY3:AY11)=0),B36,0)))))))))))))))))))))</f>
        <v>0</v>
      </c>
      <c r="BI12" s="176">
        <f>IF(Okt!W13&gt;0,Okt!W13,IF(AY12=AX12,0,IF(AND(SUM(BH11:BL11)&gt;0,AY11=AY12),BI11,IF(AX11=AY12,BD11,IF(AND(SUM(BH10:BL10)&gt;0,AY10=AY12),BI10,IF(AY12=AX10,BD10,IF(AND(SUM(BH9:BL9)&gt;0,AY9=AY12),BI9,IF(AY12=AX9,BD9,IF(AND(SUM(BH8:BL8)&gt;0,AY8=AY12),BI8,IF(AY12=AX8,BD8,IF(AND(SUM(BH7:BL7)&gt;0,AY7=AY12),BI7,IF(AY12=AX7,BD7,IF(AND(SUM(BH6:BL6)&gt;0,AY6=AY12),BI6,IF(AY12=AX6,BD6,IF(AND(SUM(BH5:BL5)&gt;0,AY5=AY12),BI5,IF(AY12=AX5,BD5,IF(AND(SUM(BH4:BL4)&gt;0,AY4=AY12),BI4,IF(AY12=AX4,BD4,IF(AND(SUM(BH3:BL3)&gt;0,AY3=AY12),BI3,IF(AX3=AY12,BD3,IF(AND(SUM(AX3:AX12)=0,SUM(AY3:AY11)=0),B37,0)))))))))))))))))))))</f>
        <v>0</v>
      </c>
      <c r="BJ12" s="176">
        <f>IF(Okt!W14&gt;0,Okt!W14,IF(AY12=AX12,0,IF(AND(SUM(BH11:BL11)&gt;0,AY11=AY12),BJ11,IF(AX11=AY12,BE11,IF(AND(SUM(BH10:BL10)&gt;0,AY10=AY12),BJ10,IF(AY12=AX10,BE10,IF(AND(SUM(BH9:BL9)&gt;0,AY9=AY12),BJ9,IF(AY12=AX9,BE9,IF(AND(SUM(BH8:BL8)&gt;0,AY8=AY12),BJ8,IF(AY12=AX8,BE8,IF(AND(SUM(BH7:BL7)&gt;0,AY7=AY12),BJ7,IF(AY12=AX7,BE7,IF(AND(SUM(BH6:BL6)&gt;0,AY6=AY12),BJ6,IF(AY12=AX6,BE6,IF(AND(SUM(BH5:BL5)&gt;0,AY5=AY12),BJ5,IF(AY12=AX5,BE5,IF(AND(SUM(BH4:BL4)&gt;0,AY4=AY12),BJ4,IF(AY12=AX4,BE4,IF(AND(SUM(BH3:BL3)&gt;0,AY3=AY12),BJ3,IF(AX3=AY12,BE3,IF(AND(SUM(AX3:AX12)=0,SUM(AY3:AY11)=0),B38,0)))))))))))))))))))))</f>
        <v>0</v>
      </c>
      <c r="BK12" s="176">
        <f>IF(Okt!W15&gt;0,Okt!W15,IF(AY12=AX12,0,IF(AND(SUM(BH11:BL11)&gt;0,AY11=AY12),BK11,IF(AX11=AY12,BF11,IF(AND(SUM(BH10:BL10)&gt;0,AY10=AY12),BK10,IF(AY12=AX10,BF10,IF(AND(SUM(BH9:BL9)&gt;0,AY9=AY12),BK9,IF(AY12=AX9,BF9,IF(AND(SUM(BH8:BL8)&gt;0,AY8=AY12),BK8,IF(AY12=AX8,BF8,IF(AND(SUM(BH7:BL7)&gt;0,AY7=AY12),BK7,IF(AY12=AX7,BF7,IF(AND(SUM(BH6:BL6)&gt;0,AY6=AY12),BK6,IF(AY12=AX6,BF6,IF(AND(SUM(BH5:BL5)&gt;0,AY5=AY12),BK5,IF(AY12=AX5,BF5,IF(AND(SUM(BH4:BL4)&gt;0,AY4=AY12),BK4,IF(AY12=AX4,BF4,IF(AND(SUM(BH3:BL3)&gt;0,AY3=AY12),BK3,IF(AX3=AY12,BF3,IF(AND(SUM(AX3:AX12)=0,SUM(AY3:AY11)=0),B39,0)))))))))))))))))))))</f>
        <v>0</v>
      </c>
      <c r="BL12" s="183">
        <f>IF(Okt!W16&gt;0,Okt!W16,IF(AY12=AX12,0,IF(AND(SUM(BH11:BL11)&gt;0,AY11=AY12),BL11,IF(AX11=AY12,BG11,IF(AND(SUM(BH10:BL10)&gt;0,AY10=AY12),BL10,IF(AY12=AX10,BG10,IF(AND(SUM(BH9:BL9)&gt;0,AY9=AY12),BL9,IF(AY12=AX9,BG9,IF(AND(SUM(BH8:BL8)&gt;0,AY8=AY12),BL8,IF(AY12=AX8,BG8,IF(AND(SUM(BH7:BL7)&gt;0,AY7=AY12),BL7,IF(AY12=AX7,BG7,IF(AND(SUM(BH6:BL6)&gt;0,AY6=AY12),BL6,IF(AY12=AX6,BG6,IF(AND(SUM(BH5:BL5)&gt;0,AY5=AY12),BL5,IF(AY12=AX5,BG5,IF(AND(SUM(BH4:BL4)&gt;0,AY4=AY12),BL4,IF(AY12=AX4,BG4,IF(AND(SUM(BH3:BL3)&gt;0,AY3=AY12),BL3,IF(AX3=AY12,BG3,IF(AND(SUM(AX3:AX12)=0,SUM(AY3:AY11)=0),B40,0)))))))))))))))))))))</f>
        <v>0</v>
      </c>
      <c r="BM12" s="40">
        <f t="shared" si="16"/>
        <v>1</v>
      </c>
      <c r="BN12" s="1">
        <f t="shared" si="17"/>
        <v>0</v>
      </c>
    </row>
    <row r="13" spans="1:66" x14ac:dyDescent="0.2">
      <c r="A13" s="151" t="s">
        <v>88</v>
      </c>
      <c r="B13" s="59"/>
      <c r="C13" s="71" t="s">
        <v>54</v>
      </c>
      <c r="D13" s="152"/>
      <c r="E13" s="167">
        <f>IF(B13="",0,IF(DAY(B13)&gt;15,1,0.5))</f>
        <v>0</v>
      </c>
      <c r="F13" s="167">
        <f>IF(DAY(B13)=14,MONTH(B13),MONTH(B13)+0.5)</f>
        <v>1.5</v>
      </c>
      <c r="G13" s="275"/>
      <c r="K13" s="1">
        <v>10</v>
      </c>
      <c r="L13" s="1">
        <v>3.25</v>
      </c>
      <c r="M13" s="1">
        <f t="shared" si="4"/>
        <v>4.875</v>
      </c>
      <c r="N13" s="1">
        <v>6.5</v>
      </c>
      <c r="O13" s="1">
        <f t="shared" si="5"/>
        <v>8.25</v>
      </c>
      <c r="P13" s="1">
        <v>10</v>
      </c>
      <c r="Q13" s="1">
        <f t="shared" si="6"/>
        <v>11.625</v>
      </c>
      <c r="R13" s="1">
        <v>13.25</v>
      </c>
      <c r="S13" s="1">
        <f t="shared" si="7"/>
        <v>14.875</v>
      </c>
      <c r="T13" s="1">
        <v>16.5</v>
      </c>
      <c r="U13" s="1">
        <f t="shared" si="8"/>
        <v>18.25</v>
      </c>
      <c r="V13" s="1">
        <v>20</v>
      </c>
      <c r="W13" s="1">
        <f t="shared" si="9"/>
        <v>21.625</v>
      </c>
      <c r="X13" s="1">
        <v>23.25</v>
      </c>
      <c r="Y13" s="1">
        <f t="shared" si="10"/>
        <v>24.875</v>
      </c>
      <c r="Z13" s="1">
        <v>26.5</v>
      </c>
      <c r="AA13" s="1">
        <f t="shared" si="11"/>
        <v>28.25</v>
      </c>
      <c r="AB13" s="1">
        <v>30</v>
      </c>
      <c r="AC13" s="1">
        <f t="shared" si="12"/>
        <v>31.625</v>
      </c>
      <c r="AD13" s="1">
        <v>33.25</v>
      </c>
      <c r="AE13" s="1">
        <f t="shared" si="13"/>
        <v>34.875</v>
      </c>
      <c r="AF13" s="1">
        <v>36.5</v>
      </c>
      <c r="AG13" s="1">
        <f t="shared" si="14"/>
        <v>38.25</v>
      </c>
      <c r="AH13" s="1">
        <v>40</v>
      </c>
      <c r="AI13" s="1">
        <v>5</v>
      </c>
      <c r="AJ13" s="1">
        <f t="shared" si="18"/>
        <v>0</v>
      </c>
      <c r="AK13" s="1">
        <f t="shared" si="19"/>
        <v>0</v>
      </c>
      <c r="AL13" s="1">
        <f t="shared" si="20"/>
        <v>0</v>
      </c>
      <c r="AM13" s="1">
        <f t="shared" si="21"/>
        <v>0</v>
      </c>
      <c r="AP13" s="1">
        <f t="shared" si="22"/>
        <v>0</v>
      </c>
      <c r="AT13" s="1">
        <v>10</v>
      </c>
      <c r="AU13" s="1">
        <f>(COUNTIFS($AY$3:$AY$14,K13)*0.5)+(COUNTIFS($AX$3:$AX$14,K13)*0.5)</f>
        <v>0</v>
      </c>
      <c r="AV13" s="1" t="str">
        <f>IF(ISNA(INDEX($L$4:$AH$22,MATCH(AT13,$K$4:$K$22,0),MATCH(AU13,$L$3:$AH$3,0))),"",INDEX($L$4:$AH$22,MATCH(AT13,$K$4:$K$22,0),MATCH(AU13,$L$3:$AH$3,0)))</f>
        <v/>
      </c>
      <c r="AW13" s="170">
        <v>11</v>
      </c>
      <c r="AX13" s="173">
        <f t="shared" si="2"/>
        <v>0</v>
      </c>
      <c r="AY13" s="174">
        <f t="shared" si="0"/>
        <v>0</v>
      </c>
      <c r="AZ13" s="40"/>
      <c r="BA13" s="40">
        <f>IF(AND(AX13=AX12,BC13=BC12,BD13=BD12,BE13=BE12,BF13=BF12,BG13=BG12),BA12,IF(AND(AX13=AX11,SUM(BC13:BG13)=0,SUM(BC11:BG11)&gt;0),BA11,IF(AND(AX13=AX10,SUM(BC13:BG13)=0,SUM(BC10:BG10)&gt;0),BA10,IF(AND(AX13=AX9,SUM(BC13:BG13)=0,SUM(BC9:BG9)&gt;0),BA9,IF(AND(AX13=AX8,SUM(BC13:BG13)=0,SUM(BC8:BG8)&gt;0),BA8,IF(AND(AX13=AX7,SUM(BC13:BG13)=0,SUM(BC7:BG7)&gt;0),BA7,IF(AND(AX13=AX6,SUM(BC13:BG13)=0,SUM(BC6:BG6)&gt;0),BA6,IF(AND(AX13=AX5,SUM(BC13:BG13)=0,SUM(BC5:BG5)&gt;0),BA5,IF(AND(AX13=AX4,SUM(BC13:BG13)=0,SUM(BC4:BG4)&gt;0),BA4,IF(AND(AX13=AX3,SUM(BC13:BG13)=0,SUM(BC3:BG3)&gt;0),BA3,BA12+1))))))))))</f>
        <v>1</v>
      </c>
      <c r="BB13" s="40">
        <f t="shared" si="3"/>
        <v>0</v>
      </c>
      <c r="BC13" s="182">
        <f>IF(Nov!W3&gt;0,Nov!W3,IF(AND(SUM(BH12:BL12)&gt;0,AY12=AX13),BH12,IF(AX13=AX12,BC12,IF(AND(SUM(BH11:BL11)&gt;0,AY11=AX13),BH11,IF(AX13=AX11,BC11,IF(AND(SUM(BH10:BL10)&gt;0,AY10=AX13),BH10,IF(AX13=AX10,BC10,IF(AND(SUM(BH9:BL9)&gt;0,AY9=AX13),BH9,IF(AX13=AX9,BC9,IF(AND(SUM(BH8:BL8)&gt;0,AY8=AX13),BH8,IF(AX13=AX8,BC8,IF(AND(SUM(BH7:BL7)&gt;0,AY7=AX13),BH7,IF(AX13=AX7,BC7,IF(AND(SUM(BH6:BL6)&gt;0,AY6=AX13),BH6,IF(AX13=AX6,BC6,IF(AND(SUM(BH5:BL5)&gt;0,AY5=AX13),BH5,IF(AX5=AX13,BC5,IF(AND(SUM(BH4:BL4)&gt;0,AY4=AX13),BH4,IF(AX4=AX13,BC4,IF(AND(SUM(BH3:BL3)&gt;0,AY3=AX13),BH3,IF(AX3=AX13,BC3,IF(AND(SUM(AX3:AX11)=0,SUM(AY3:AY11)=0),B36,0))))))))))))))))))))))</f>
        <v>0</v>
      </c>
      <c r="BD13" s="176">
        <f>IF(Nov!W4&gt;0,Nov!W4,IF(AND(SUM(BH12:BL12)&gt;0,AY12=AX13),BI12,IF(AX13=AX12,BD12,IF(AND(SUM(BH11:BL11)&gt;0,AY11=AX13),BI11,IF(AX13=AX11,BD11,IF(AND(SUM(BH10:BL10)&gt;0,AY10=AX13),BI10,IF(AX13=AX10,BD10,IF(AND(SUM(BH9:BL9)&gt;0,AY9=AX13),BI9,IF(AX13=AX9,BD9,IF(AND(SUM(BH8:BL8)&gt;0,AY8=AX13),BI8,IF(AX13=AX8,BD8,IF(AND(SUM(BH7:BL7)&gt;0,AY7=AX13),BI7,IF(AX13=AX7,BD7,IF(AND(SUM(BH6:BL6)&gt;0,AY6=AX13),BI6,IF(AX13=AX6,BD6,IF(AND(SUM(BH5:BL5)&gt;0,AY5=AX13),BI5,IF(AX5=AX13,BD5,IF(AND(SUM(BH4:BL4)&gt;0,AY4=AX13),BI4,IF(AX4=AX13,BD4,IF(AND(SUM(BH3:BL3)&gt;0,AY3=AX13),BI3,IF(AX3=AX13,BD3,IF(AND(SUM(AX3:AX11)=0,SUM(AY3:AY11)=0),B37,0))))))))))))))))))))))</f>
        <v>0</v>
      </c>
      <c r="BE13" s="176">
        <f>IF(Nov!W5&gt;0,Nov!W5,IF(AND(SUM(BH12:BL12)&gt;0,AY12=AX13),BJ12,IF(AX12=AX13,BE12,IF(AND(SUM(BH11:BL11)&gt;0,AY11=AX13),BJ11,IF(AX13=AX11,BE11,IF(AND(SUM(BH10:BL10)&gt;0,AY10=AX13),BJ10,IF(AX13=AX10,BE10,IF(AND(SUM(BH9:BL9)&gt;0,AY9=AX13),BJ9,IF(AX13=AX9,BE9,IF(AND(SUM(BH8:BL8)&gt;0,AY8=AX13),BJ8,IF(AX13=AX8,BE8,IF(AND(SUM(BH7:BL7)&gt;0,AY7=AX13),BJ7,IF(AX13=AX7,BE7,IF(AND(SUM(BH6:BL6)&gt;0,AY6=AX13),BJ6,ENN(AX13=AX6,BE6,IF(AND(SUM(BH5:BL5)&gt;0,AY5=AX13),BJ5,IF(AX13=AX5,BE5,IF(AND(SUM(BH4:BL4)&gt;0,AY4=AX13),BJ4,IF(AX4=AX13,BE4,IF(AND(SUM(BH3:BL3)&gt;0,AY3=AX13),BJ3,IF(AX3=AX13,BE3,IF(AND(SUM(AX3:AX11)=0,SUM(AY3:AY11)=0),B38,0))))))))))))))))))))))</f>
        <v>0</v>
      </c>
      <c r="BF13" s="176">
        <f>IF(Nov!W6&gt;0,Nov!W6,IF(AND(SUM(BH12:BL12)&gt;0,AY12=AX13),BK12,IF(AX13=AX12,BF12,IF(AND(SUM(BH11:BL11)&gt;0,AY11=AX13),BK11,IF(AX12=AX11,BF11,IF(AND(SUM(BH10:BL10)&gt;0,AY10=AX13),BK10,IF(AX13=AX10,BF10,IF(AND(SUM(BH9:BL9)&gt;0,AY9=AX13),BK9,IF(AX13=AX9,BF9,IF(AND(SUM(BH8:BL8)&gt;0,AY8=AX13),BK8,IF(AX13=AX8,BF8,IF(AND(SUM(BH7:BL7)&gt;0,AY7=AX13),BK7,IF(AX13=AX7,BF7,IF(AND(SUM(BH6:BL6)&gt;0,AY6=AX13),BK6,IF(AX13=AX6,BF6,IF(AND(SUM(BH5:BL5)&gt;0,AY5=AX13),BK5,IF(AX13=AX5,BF5,IF(AND(SUM(BH4:BL4)&gt;0,AY4=AX13),BK4,IF(AX4=AX13,BF4,IF(AND(SUM(BH3:BL3)&gt;0,AY3=AX13),BK3,IF(AX3=AX13,BF3,IF(AND(SUM(AX3:AX11)=0,SUM(AY3:AY11)=0),B39,0))))))))))))))))))))))</f>
        <v>0</v>
      </c>
      <c r="BG13" s="183">
        <f>IF(Nov!W7&gt;0,Nov!W7,IF(AND(SUM(BH12:BL12)&gt;0,AY12=AX13),BL12,IF(AX13=AX12,BG12,IF(AND(SUM(BH11:BL11)&gt;0,AY11=AX13),BL11,IF(AX12=AX11,BG11,IF(AND(SUM(BH10:BL10)&gt;0,AY10=AX13),BL10,IF(AX13=AX10,BG10,IF(AND(SUM(BH9:BL9)&gt;0,AY9=AX13),BL9,IF(AX13=AX9,BG9,IF(AND(SUM(BH8:BL8)&gt;0,AY8=AX13),BL8,IF(AX13=AX8,BG8,IF(AND(SUM(BH7:BL7)&gt;0,AY7=AX13),BL7,IF(AX13=AX7,BG7,IF(AND(SUM(BH6:BL6)&gt;0,AY6=AX13),BL6,IF(AX13=AX6,BG6,IF(AND(SUM(BH5:BL5)&gt;0,AY5=AX13),BL5,IF(AX13=AX5,BG5,IF(AND(SUM(BH4:BL4)&gt;0,AY4=AX13),BL4,IF(AX4=AX13,BG4,IF(AND(SUM(BH3:BL3)&gt;0,AY3=AX13),BL3,IF(AX3=AX13,BG3,IF(AND(SUM(AX3:AX11)=0,SUM(AY3:AY11)=0),B40,0))))))))))))))))))))))</f>
        <v>0</v>
      </c>
      <c r="BH13" s="182">
        <f>IF(Nov!W12&gt;0,Nov!W12,IF(AY13=AX13,0,IF(AND(SUM(BH12:BL12)&gt;0,AY12=AY13),BH12,IF(AX12=AY13,BC12,IF(AND(SUM(BH11:BL11)&gt;0,AY11=AY13),BH11,IF(AY13=AX11,BC11,IF(AND(SUM(BH10:BL10)&gt;0,AY10=AY13),BH10,IF(AY13=AX10,BC10,IF(AND(SUM(BH9:BL9)&gt;0,AY9=AY13),BH9,IF(AY13=AX9,BC9,IF(AND(SUM(BH8:BL8)&gt;0,AY8=AY13),BH8,IF(AY13=AX8,BC8,IF(AND(SUM(BH7:BL7)&gt;0,AY7=AY13),BH7,IF(AY13=AX7,BC7,IF(AND(SUM(BH6:BL6)&gt;0,AY6=AY13),BH6,IF(AY13=AX6,BC6,IF(AND(SUM(BH5:BL5)&gt;0,AY5=AY13),BH5,IF(AY13=AX5,BC5,IF(AND(SUM(BH4:BL4)&gt;0,AY4=AY13),BH4,IF(AX4=AY13,BC4,IF(AND(SUM(BH3:BL3)&gt;0,AY3=AY13),BH3,IF(AX3=AY13,BC3,IF(AND(SUM(AX3:AX13)=0,SUM(AY3:AY12)=0),B36,0)))))))))))))))))))))))</f>
        <v>0</v>
      </c>
      <c r="BI13" s="176">
        <f>IF(Nov!W13&gt;0,Nov!W13,IF(AY13=AX13,0,IF(AND(SUM(BH12:BL12)&gt;0,AY12=AY13),BI12,IF(AX12=AY13,BD12,IF(AND(SUM(BH11:BL11)&gt;0,AY11=AY13),BI11,IF(AY13=AX11,BD11,IF(AND(SUM(BH10:BL10)&gt;0,AY10=AY13),BI10,IF(AY13=AX10,BD10,IF(AND(SUM(BH9:BL9)&gt;0,AY9=AY13),BI9,IF(AY13=AX9,BD9,IF(AND(SUM(BH8:BL8)&gt;0,AY8=AY13),BI8,IF(AY13=AX8,BD8,IF(AND(SUM(BH7:BL7)&gt;0,AY7=AY13),BI7,IF(AY13=AX7,BD7,IF(AND(SUM(BH6:BL6)&gt;0,AY6=AY13),BI6,IF(AY13=AX6,BD6,IF(AND(SUM(BH5:BL5)&gt;0,AY5=AY13),BI5,IF(AY13=AX5,BD5,IF(AND(SUM(BH4:BL4)&gt;0,AY4=AY13),BI4,IF(AX4=AY13,BD4,IF(AND(SUM(BH3:BL3)&gt;0,AY3=AY13),BI3,IF(AX3=AY13,BD3,IF(AND(SUM(AX3:AX13)=0,SUM(AY3:AY12)=0),B37,0)))))))))))))))))))))))</f>
        <v>0</v>
      </c>
      <c r="BJ13" s="176">
        <f>IF(Nov!W14&gt;0,Nov!W14,IF(AY13=AX13,0,IF(AND(SUM(BH12:BL12)&gt;0,AY12=AY13),BJ12,IF(AX12=AY13,BE12,IF(AND(SUM(BH11:BL11)&gt;0,AY11=AY13),BJ11,IF(AY13=AX11,BE11,IF(AND(SUM(BH10:BL10)&gt;0,AY10=AY13),BJ10,IF(AY13=AX10,BE10,IF(AND(SUM(BH9:BL9)&gt;0,AY9=AY13),BJ9,IF(AY13=AX9,BE9,IF(AND(SUM(BH8:BL8)&gt;0,AY8=AY13),BJ8,IF(AY13=AX8,BE8,IF(AND(SUM(BH7:BL7)&gt;0,AY7=AY13),BJ7,IF(AY13=AX7,BE7,IF(AND(SUM(BH6:BL6)&gt;0,AY6=AY13),BJ6,IF(AY13=AX6,BE6,IF(AND(SUM(BH5:BL5)&gt;0,AY5=AY13),BJ5,IF(AY13=AX5,BE5,IF(AND(SUM(BH4:BL4)&gt;0,AY4=AY13),BJ4,IF(AX4=AY13,BE4,IF(AND(SUM(BH3:BL3)&gt;0,AY3=AY13),BJ3,IF(AX3=AY13,BE3,IF(AND(SUM(AX3:AX13)=0,SUM(AY3:AY12)=0),B38,0)))))))))))))))))))))))</f>
        <v>0</v>
      </c>
      <c r="BK13" s="176">
        <f>IF(Nov!W15&gt;0,Nov!W15,IF(AY13=AX13,0,IF(AND(SUM(BH12:BL12)&gt;0,AY12=AY13),BK12,IF(AX12=AY13,BF12,IF(AND(SUM(BH11:BL11)&gt;0,AY11=AY13),BK11,IF(AY13=AX11,BF11,IF(AND(SUM(BH10:BL10)&gt;0,AY10=AY13),BK10,IF(AY13=AX10,BF10,IF(AND(SUM(BH9:BL9)&gt;0,AY9=AY13),BK9,IF(AY13=AX9,BF9,IF(AND(SUM(BH8:BL8)&gt;0,AY8=AY13),BK8,IF(AY13=AX8,BF8,IF(AND(SUM(BH7:BL7)&gt;0,AY7=AY13),BK7,IF(AY13=AX7,BF7,IF(AND(SUM(BH6:BL6)&gt;0,AY6=AY13),BK6,IF(AY13=AX6,BF6,IF(AND(SUM(BH5:BL5)&gt;0,AY5=AY13),BK5,IF(AY13=AX5,BF5,IF(AND(SUM(BH4:BL4)&gt;0,AY4=AY13),BK4,IF(AX4=AY13,BF4,IF(AND(SUM(BH3:BL3)&gt;0,AY3=AY13),BK3,IF(AX3=AY13,BF3,IF(AND(SUM(AX3:AX13)=0,SUM(AY3:AY12)=0),B39,0)))))))))))))))))))))))</f>
        <v>0</v>
      </c>
      <c r="BL13" s="183">
        <f>IF(Nov!W16&gt;0,Nov!W16,IF(AY13=AX13,0,IF(AND(SUM(BH12:BL12)&gt;0,AY12=AY13),BL12,IF(AX12=AY13,BG12,IF(AND(SUM(BH11:BL11)&gt;0,AY11=AY13),BL11,IF(AY13=AX11,BG11,IF(AND(SUM(BH10:BL10)&gt;0,AY10=AY13),BL10,IF(AY13=AX10,BG10,IF(AND(SUM(BH9:BL9)&gt;0,AY9=AY13),BL9,IF(AY13=AX9,BG9,IF(AND(SUM(BH8:BL8)&gt;0,AY8=AY13),BL8,IF(AY13=AX8,BG8,IF(AND(SUM(BH7:BL7)&gt;0,AY7=AY13),BL7,IF(AY13=AX7,BG7,IF(AND(SUM(BH6:BL6)&gt;0,AY6=AY13),BL6,IF(AY13=AX6,BG6,IF(AND(SUM(BH5:BL5)&gt;0,AY5=AY13),BL5,IF(AY13=AX5,BG5,IF(AND(SUM(BH4:BL4)&gt;0,AY4=AY13),BL4,IF(AX4=AY13,BG4,IF(AND(SUM(BH3:BL3)&gt;0,AY3=AY13),BG3,IF(AX3=AY13,BG3,IF(AND(SUM(AX3:AX13)=0,SUM(AY3:AY12)=0),B40,0)))))))))))))))))))))))</f>
        <v>0</v>
      </c>
      <c r="BM13" s="40">
        <f t="shared" si="16"/>
        <v>1</v>
      </c>
      <c r="BN13" s="1">
        <f t="shared" si="17"/>
        <v>0</v>
      </c>
    </row>
    <row r="14" spans="1:66" x14ac:dyDescent="0.2">
      <c r="A14" s="149" t="s">
        <v>87</v>
      </c>
      <c r="B14" s="58"/>
      <c r="C14" s="117" t="s">
        <v>52</v>
      </c>
      <c r="D14" s="150" t="str">
        <f>IF(B14="","",IF(J14&gt;=17,I14+1,I14+0.5))</f>
        <v/>
      </c>
      <c r="E14" s="167">
        <f t="shared" ref="E14" si="30">IF(B14="",0,IF(DAY(B14)=1,1,0.5))</f>
        <v>0</v>
      </c>
      <c r="F14" s="167">
        <f t="shared" si="29"/>
        <v>1</v>
      </c>
      <c r="G14" s="275"/>
      <c r="H14">
        <f>B15-B14</f>
        <v>0</v>
      </c>
      <c r="I14">
        <f>DATEDIF(B14,B15,"ym")</f>
        <v>0</v>
      </c>
      <c r="J14">
        <f>DATEDIF(B14,B15,"md")</f>
        <v>0</v>
      </c>
      <c r="K14" s="1">
        <v>11</v>
      </c>
      <c r="L14" s="1">
        <v>3.5</v>
      </c>
      <c r="M14" s="1">
        <f t="shared" si="4"/>
        <v>5.375</v>
      </c>
      <c r="N14" s="1">
        <v>7.25</v>
      </c>
      <c r="O14" s="1">
        <f t="shared" si="5"/>
        <v>9.125</v>
      </c>
      <c r="P14" s="1">
        <v>11</v>
      </c>
      <c r="Q14" s="1">
        <f t="shared" si="6"/>
        <v>12.75</v>
      </c>
      <c r="R14" s="1">
        <v>14.5</v>
      </c>
      <c r="S14" s="1">
        <f t="shared" si="7"/>
        <v>16.375</v>
      </c>
      <c r="T14" s="1">
        <v>18.25</v>
      </c>
      <c r="U14" s="1">
        <f t="shared" si="8"/>
        <v>20.125</v>
      </c>
      <c r="V14" s="1">
        <v>22</v>
      </c>
      <c r="W14" s="1">
        <f t="shared" si="9"/>
        <v>23.75</v>
      </c>
      <c r="X14" s="1">
        <v>25.5</v>
      </c>
      <c r="Y14" s="1">
        <f t="shared" si="10"/>
        <v>27.375</v>
      </c>
      <c r="Z14" s="1">
        <v>29.25</v>
      </c>
      <c r="AA14" s="1">
        <f t="shared" si="11"/>
        <v>31.125</v>
      </c>
      <c r="AB14" s="1">
        <v>33</v>
      </c>
      <c r="AC14" s="1">
        <f t="shared" si="12"/>
        <v>34.75</v>
      </c>
      <c r="AD14" s="1">
        <v>36.5</v>
      </c>
      <c r="AE14" s="1">
        <f t="shared" si="13"/>
        <v>38.375</v>
      </c>
      <c r="AF14" s="1">
        <v>40.25</v>
      </c>
      <c r="AG14" s="1">
        <f t="shared" si="14"/>
        <v>42.125</v>
      </c>
      <c r="AH14" s="1">
        <v>44</v>
      </c>
      <c r="AI14" s="1">
        <v>5.5</v>
      </c>
      <c r="AJ14" s="1">
        <f t="shared" si="18"/>
        <v>0</v>
      </c>
      <c r="AK14" s="1">
        <f t="shared" si="19"/>
        <v>0</v>
      </c>
      <c r="AL14" s="1">
        <f t="shared" si="20"/>
        <v>0</v>
      </c>
      <c r="AM14" s="1">
        <f t="shared" si="21"/>
        <v>0</v>
      </c>
      <c r="AP14" s="1">
        <f t="shared" si="22"/>
        <v>0</v>
      </c>
      <c r="AT14" s="1">
        <v>11</v>
      </c>
      <c r="AU14" s="1">
        <f t="shared" ref="AU14:AU22" si="31">(COUNTIFS($AY$3:$AY$14,K14)*0.5)+(COUNTIFS($AX$3:$AX$14,K14)*0.5)</f>
        <v>0</v>
      </c>
      <c r="AV14" s="1" t="str">
        <f t="shared" ref="AV14:AV22" si="32">IF(ISNA(INDEX($L$4:$AH$22,MATCH(AT14,$K$4:$K$22,0),MATCH(AU14,$L$3:$AH$3,0))),"",INDEX($L$4:$AH$22,MATCH(AT14,$K$4:$K$22,0),MATCH(AU14,$L$3:$AH$3,0)))</f>
        <v/>
      </c>
      <c r="AW14" s="170">
        <v>12</v>
      </c>
      <c r="AX14" s="173">
        <f t="shared" si="2"/>
        <v>0</v>
      </c>
      <c r="AY14" s="174">
        <f t="shared" si="0"/>
        <v>0</v>
      </c>
      <c r="AZ14" s="40"/>
      <c r="BA14" s="40">
        <f>IF(AND(AX14=AX13,BC14=BC13,BD14=BD13,BE14=BE13,BF14=BF13,BG14=BG13),BA13,IF(AND(AX14=AX12,SUM(BC14:BG14)=0,SUM(BC12:BG12)&gt;0),BA12,IF(AND(AX14=AX11,SUM(BC14:BG14)=0,SUM(BC11:BG11)&gt;0),BA11,IF(AND(AX14=AX10,SUM(BC14:BG14)=0,SUM(BC10:BG10)&gt;0),BA10,IF(AND(AX14=AX9,SUM(BC14:BG14)=0,SUM(BC9:BG9)&gt;0),BA9,IF(AND(AX14=AX8,SUM(BC14:BG14)=0,SUM(BC8:BG8)&gt;0),BA8,IF(AND(AX14=AX7,SUM(BC14:BG14)=0,SUM(BC7:BG7)&gt;0),BA7,IF(AND(AX14=AX6,SUM(BC14:BG14)=0,SUM(BC6:BG6)&gt;0),BA6,IF(AND(AX14=AX5,SUM(BC14:BG14)=0,SUM(BC5:BG5)&gt;0),BA5,IF(AND(AX14=AX4,SUM(BC14:BG14)=0,SUM(BC4:BG4)&gt;0),BA4,IF(AND(AX14=AX3,SUM(BC14:BG14)=0,SUM(BC3:BG3)&gt;0),BA3,BA13+1)))))))))))</f>
        <v>1</v>
      </c>
      <c r="BB14" s="40">
        <f t="shared" si="3"/>
        <v>0</v>
      </c>
      <c r="BC14" s="184">
        <f>IF(Dez!W3&gt;0,Dez!W3,IF(AND(SUM(BH13:BL13)&gt;0,AY13=AX14),BH13,IF(AX13=AX14,BC13,IF(AND(SUM(BH12:BL12)&gt;0,AY12=AX14),BH12,IF(AX13=AX12,BC12,IF(AND(SUM(BH11:BL11)&gt;0,AY11=AX14),BH11,IF(AX14=AX11,BC11,IF(AND(SUM(BH10:BL10)&gt;0,AY10=AX14),BH10,IF(AX14=AX10,BC10,IF(AND(SUM(BH9:BL9)&gt;0,AY9=AX14),BH9,IF(AX14=AX9,BC9,IF(AND(SUM(BH8:BL8)&gt;0,AY8=AX14),BH8,IF(AX14=AX8,BC8,IF(AND(SUM(BH7:BL7)&gt;0,AY7=AX14),BH7,IF(AX14=AX7,BC7,IF(AND(SUM(BH6:BL6)&gt;0,AY6=AX14),BH6,IF(AX14=AX6,BC6,IF(AND(SUM(BH5:BL5)&gt;0,AY5=AX14),BH5,IF(AX5=AX14,BC5,IF(AND(SUM(BH4:BL4)&gt;0,AY4=AX14),BH4,IF(AX4=AX14,BC4,IF(AND(SUM(BH3:BL3)&gt;0,AY3=AX14),BH3,IF(AX3=AX14,BC3,IF(AND(SUM(AX3:AX12)=0,SUM(AY3:AY12)=0),B36,0))))))))))))))))))))))))</f>
        <v>0</v>
      </c>
      <c r="BD14" s="185">
        <f>IF(Dez!W4&gt;0,Dez!W4,IF(AND(SUM(BH13:BL13)&gt;0,AY13=AX14),BI13,IF(AX13=AX14,BD13,IF(AND(SUM(BH12:BL12)&gt;0,AY12=AX14),BI12,IF(AX13=AX12,BD12,IF(AND(SUM(BH11:BL11)&gt;0,AY11=AX14),BI11,IF(AX14=AX11,BD11,IF(AND(SUM(BH10:BL10)&gt;0,AY10=AX14),BI10,IF(AX14=AX10,BD10,IF(AND(SUM(BH9:BL9)&gt;0,AY9=AX14),BI9,IF(AX14=AX9,BD9,IF(AND(SUM(BH8:BL8)&gt;0,AY8=AX14),BI8,IF(AX14=AX8,BD8,IF(AND(SUM(BH7:BL7)&gt;0,AY7=AX14),BI7,IF(AX14=AX7,BD7,IF(AND(SUM(BH6:BL6)&gt;0,AY6=AX14),BI6,IF(AX14=AX6,BD6,IF(AND(SUM(BH5:BL5)&gt;0,AY5=AX14),BI5,IF(AX5=AX14,BD5,IF(AND(SUM(BH4:BL4)&gt;0,AY4=AX14),BI4,IF(AX4=AX14,BD4,IF(AND(SUM(BH3:BL3)&gt;0,AY3=AX14),BI3,IF(AX3=AX14,BD3,IF(AND(SUM(AX3:AX12)=0,SUM(AY3:AY12)=0),B37,0))))))))))))))))))))))))</f>
        <v>0</v>
      </c>
      <c r="BE14" s="185">
        <f>IF(Dez!W5&gt;0,Dez!W5,IF(AND(SUM(BH13:BL13)&gt;0,AY13=AX14),BJ13,IF(AX13=AX14,BE13,IF(AND(SUM(BH12:BL12)&gt;0,AY12=AX14),BJ12,IF(AX14=AX12,BE12,IF(AND(SUM(BH11:BL11)&gt;0,AY11=AX14),BJ11,IF(AX14=AX11,BE11,IF(AND(SUM(BH10:BL10)&gt;0,AY10=AX14),BJ10,IF(AX14=AX10,BE10,IF(AND(SUM(BH9:BL9)&gt;0,AY9=AX14),BJ9,IF(AX14=AX9,BE9,IF(AND(SUM(BH8:BL8)&gt;0,AY8=AX14),BJ8,IF(AX14=AX8,BE8,IF(AND(SUM(BH7:BL7)&gt;0,AY7=AX14),BJ7,ENN(AX14=AX7,BE7,IF(AND(SUM(BH6:BL6)&gt;0,AY6=AX14),BJ6,IF(AX14=AX6,BE6,IF(AND(SUM(BH5:BL5)&gt;0,AY5=AX14),BJ5,IF(AX5=AX14,BE5,IF(AND(SUM(BH4:BL4)&gt;0,AY4=AX14),BJ4,IF(AX4=AX14,BE4,IF(AND(SUM(BH3:BL3)&gt;0,AY3=AX14),BJ3,IF(AX3=AX14,BE3,IF(AND(SUM(AX3:AX12)=0,SUM(AY3:AY12)=0),B38,0))))))))))))))))))))))))</f>
        <v>0</v>
      </c>
      <c r="BF14" s="185">
        <f>IF(Dez!W6&gt;0,Dez!W6,IF(AND(SUM(BH13:BL13)&gt;0,AY13=AX14),BK13,IF(AX14=AX13,BF13,IF(AND(SUM(BH12:BL12)&gt;0,AY12=AX14),BK12,IF(AX13=AX12,BF12,IF(AND(SUM(BH11:BL11)&gt;0,AY11=AX14),BK11,IF(AX14=AX11,BF11,IF(AND(SUM(BH10:BL10)&gt;0,AY10=AX14),BK10,IF(AX14=AX10,BF10,IF(AND(SUM(BH9:BL9)&gt;0,AY9=AX14),BK9,IF(AX14=AX9,BF9,IF(AND(SUM(BH8:BL8)&gt;0,AY8=AX14),BK8,IF(AX14=AX8,BF8,IF(AND(SUM(BH7:BL7)&gt;0,AY7=AX14),BK7,IF(AX14=AX7,BF7,IF(AND(SUM(BH6:BL6)&gt;0,AY6=AX14),BK6,IF(AX14=AX6,BF6,IF(AND(SUM(BH5:BL5)&gt;0,AY5=AX14),BK5,IF(AX5=AX14,BF5,IF(AND(SUM(BH4:BL4)&gt;0,AY4=AX14),BK4,IF(AX4=AX14,BF4,IF(AND(SUM(BH3:BL3)&gt;0,AY3=AX14),BK3,IF(AX3=AX14,BF3,IF(AND(SUM(AX3:AX12)=0,SUM(AY3:AY12)=0),B39,0))))))))))))))))))))))))</f>
        <v>0</v>
      </c>
      <c r="BG14" s="186">
        <f>IF(Dez!W7&gt;0,Dez!W7,IF(AND(SUM(BH13:BL13)&gt;0,AY13=AX14),BL13,IF(AX14=AX13,BG13,IF(AND(SUM(BH12:BL12)&gt;0,AY12=AX14),BL12,IF(AX13=AX12,BG12,IF(AND(SUM(BH11:BL11)&gt;0,AY11=AX14),BL11,IF(AX14=AX11,BG11,IF(AND(SUM(BH10:BL10)&gt;0,AY10=AX14),BL10,IF(AX14=AX10,BG10,IF(AND(SUM(BH9:BL9)&gt;0,AY9=AX14),BL9,IF(AX14=AX9,BG9,IF(AND(SUM(BH8:BL8)&gt;0,AY8=AX14),BL8,IF(AX14=AX8,BG8,IF(AND(SUM(BH7:BL7)&gt;0,AY7=AX14),BL7,IF(AX14=AX7,BG7,IF(AND(SUM(BH6:BL6)&gt;0,AY6=AX14),BL6,IF(AX14=AX6,BG6,IF(AND(SUM(BH5:BL5)&gt;0,AY5=AX14),BL5,IF(AX5=AX14,BG5,IF(AND(SUM(BH4:BL4)&gt;0,AY4=AX14),BL4,IF(AX4=AX14,BG4,IF(AND(SUM(BH3:BL3)&gt;0,AY3=AX14),BL3,IF(AX3=AX14,BG3,IF(AND(SUM(AX3:AX12)=0,SUM(AY3:AY12)=0),B40,0))))))))))))))))))))))))</f>
        <v>0</v>
      </c>
      <c r="BH14" s="184">
        <f>IF(Dez!W12&gt;0,Dez!W12,IF(AY14=AX14,0,IF(AND(SUM(BH13:BL13)&gt;0,AY13=AY14),BH13,IF(AX13=AY14,BC13,IF(AND(SUM(BH12:BL12)&gt;0,AY12=AY14),BH12,IF(AY14=AX12,BC12,IF(AND(SUM(BH11:BL11)&gt;0,AY11=AY14),BH11,IF(AY14=AX11,BC11,IF(AND(SUM(BH10:BL10)&gt;0,AY10=AY14),BH10,IF(AY14=AX10,BC10,IF(AND(SUM(BH9:BL9)&gt;0,AY9=AY14),BH9,IF(AY14=AX9,BC9,IF(AND(SUM(BH8:BL8)&gt;0,AY8=AY14),BH8,IF(AY14=AX8,BC8,IF(AND(SUM(BH7:BL7)&gt;0,AY7=AY14),BH7,IF(AY14=AX7,BC7,IF(AND(SUM(BH6:BL6)&gt;0,AY6=AY14),BH6,IF(AY14=AX6,BC6,IF(AND(SUM(BH5:BL5)&gt;0,AY5=AY14),BH5,IF(AX5=AY14,BC5,IF(AND(SUM(BH4:BL4)&gt;0,AY4=AY14),BH4,IF(AX4=AY14,BC4,IF(AND(SUM(BH3:BL3)&gt;0,AY3=AY14),BH3,IF(AX3=AY14,BC3,IF(AND(SUM(AX3:AX14)=0,SUM(AY3:AY13)=0),B36,0)))))))))))))))))))))))))</f>
        <v>0</v>
      </c>
      <c r="BI14" s="185">
        <f>IF(Dez!W13&gt;0,Dez!W13,IF(AY14=AX14,0,IF(AND(SUM(BH13:BL13)&gt;0,AY13=AY14),BI13,IF(AX13=AY14,BD13,IF(AND(SUM(BH12:BL12)&gt;0,AY12=AY14),BI12,IF(AY14=AX12,BD12,IF(AND(SUM(BH11:BL11)&gt;0,AY11=AY14),BI11,IF(AY14=AX11,BD11,IF(AND(SUM(BH10:BL10)&gt;0,AY10=AY14),BI10,IF(AY14=AX10,BD10,IF(AND(SUM(BH9:BL9)&gt;0,AY9=AY14),BI9,IF(AY14=AX9,BD9,IF(AND(SUM(BH8:BL8)&gt;0,AY8=AY14),BI8,IF(AY14=AX8,BD8,IF(AND(SUM(BH7:BL7)&gt;0,AY7=AY14),BI7,IF(AY14=AX7,BD7,IF(AND(SUM(BH6:BL6)&gt;0,AY6=AY14),BI6,IF(AY14=AX6,BD6,IF(AND(SUM(BH5:BL5)&gt;0,AY5=AY14),BI5,IF(AX5=AY14,BD5,IF(AND(SUM(BH4:BL4)&gt;0,AY4=AY14),BI4,IF(AX4=AY14,BD4,IF(AND(SUM(BH3:BL3)&gt;0,AY3=AY14),BI3,IF(AX3=AY14,BD3,IF(AND(SUM(AX3:AX14)=0,SUM(AY3:AY13)=0),B37,0)))))))))))))))))))))))))</f>
        <v>0</v>
      </c>
      <c r="BJ14" s="185">
        <f>IF(Dez!W14&gt;0,Dez!W14,IF(AY14=AX14,0,IF(AND(SUM(BH13:BL13)&gt;0,AY13=AY14),BJ13,IF(AX13=AY14,BE13,IF(AND(SUM(BH12:BL12)&gt;0,AY12=AY14),BJ12,IF(AY14=AX12,BE12,IF(AND(SUM(BH11:BL11)&gt;0,AY11=AY14),BJ11,IF(AY14=AX11,BE11,IF(AND(SUM(BH10:BL10)&gt;0,AY10=AY14),BJ10,IF(AY14=AX10,BE10,IF(AND(SUM(BH9:BL9)&gt;0,AY9=AY14),BJ9,IF(AY14=AX9,BE9,IF(AND(SUM(BH8:BL8)&gt;0,AY8=AY14),BJ8,IF(AY14=AX8,BE8,IF(AND(SUM(BH7:BL7)&gt;0,AY7=AY14),BJ7,IF(AY14=AX7,BE7,IF(AND(SUM(BH6:BL6)&gt;0,AY6=AY14),BJ6,IF(AY14=AX6,BE6,IF(AND(SUM(BH5:BL5)&gt;0,AY5=AY14),BJ5,IF(AX5=AY14,BE5,IF(AND(SUM(BH4:BL4)&gt;0,AY4=AY14),BJ4,IF(AX4=AY14,BE4,IF(AND(SUM(BH3:BL3)&gt;0,AY3=AY14),BJ3,IF(AX3=AY14,BE3,IF(AND(SUM(AX3:AX14)=0,SUM(AY3:AY13)=0),B38,0)))))))))))))))))))))))))</f>
        <v>0</v>
      </c>
      <c r="BK14" s="185">
        <f>IF(Dez!W15&gt;0,Dez!W15,IF(AY14=AX14,0,IF(AND(SUM(BH13:BL13)&gt;0,AY13=AY14),BK13,IF(AX13=AY14,BF13,IF(AND(SUM(BH12:BL12)&gt;0,AY12=AY14),BK12,IF(AY14=AX12,BF12,IF(AND(SUM(BH11:BL11)&gt;0,AY11=AY14),BK11,IF(AY14=AX11,BF11,IF(AND(SUM(BH10:BL10)&gt;0,AY10=AY14),BK10,IF(AY14=AX10,BF10,IF(AND(SUM(BH9:BL9)&gt;0,AY9=AY14),BK9,IF(AY14=AX9,BF9,IF(AND(SUM(BH8:BL8)&gt;0,AY8=AY14),BK8,IF(AY14=AX8,BF8,IF(AND(SUM(BH7:BL7)&gt;0,AY7=AY14),BK7,IF(AY14=AX7,BF7,IF(AND(SUM(BH6:BL6)&gt;0,AY6=AY14),BK6,IF(AY14=AX6,BF6,IF(AND(SUM(BH5:BL5)&gt;0,AY5=AY14),BK5,IF(AX5=AY14,BF5,IF(AND(SUM(BH4:BL4)&gt;0,AY4=AY14),BK4,IF(AX4=AY14,BF4,IF(AND(SUM(BH3:BL3)&gt;0,AY3=AY14),BK3,IF(AX3=AY14,BF3,IF(AND(SUM(AX3:AX14)=0,SUM(AY3:AY13)=0),B39,0)))))))))))))))))))))))))</f>
        <v>0</v>
      </c>
      <c r="BL14" s="186">
        <f>IF(Dez!W16&gt;0,Dez!W16,IF(AY14=AX14,0,IF(AND(SUM(BH13:BL13)&gt;0,AY13=AY14),BL13,IF(AX13=AY14,BG13,IF(AND(SUM(BH12:BL12)&gt;0,AY12=AY14),BL12,IF(AY14=AX12,BG12,IF(AND(SUM(BH11:BL11)&gt;0,AY11=AY14),BL11,IF(AY14=AX11,BG11,IF(AND(SUM(BH10:BL10)&gt;0,AY10=AY14),BL10,IF(AY14=AX10,BG10,IF(AND(SUM(BH9:BL9)&gt;0,AY9=AY14),BL9,IF(AY14=AX9,BG9,IF(AND(SUM(BH8:BL8)&gt;0,AY8=AY14),BL8,IF(AY14=AX8,BG8,IF(AND(SUM(BH7:BL7)&gt;0,AY7=AY14),BL7,IF(AY14=AX7,BG7,IF(AND(SUM(BH6:BL6)&gt;0,AY6=AY14),BL6,IF(AY14=AX6,BG6,IF(AND(SUM(BH5:BL5)&gt;0,AY5=AY14),BL5,IF(AX5=AY14,BG5,IF(AND(SUM(BH4:BL4)&gt;0,AY4=AY14),BG4,IF(AX4=AY14,BG4,IF(AND(SUM(BH3:BL3)&gt;0,AY3=AY14),BL3,IF(AX3=AY14,BG3,IF(AND(SUM(AX3:AX14)=0,SUM(AY3:AY13)=0),B40,0)))))))))))))))))))))))))</f>
        <v>0</v>
      </c>
      <c r="BM14" s="40">
        <f t="shared" si="16"/>
        <v>1</v>
      </c>
      <c r="BN14" s="1">
        <f t="shared" si="17"/>
        <v>0</v>
      </c>
    </row>
    <row r="15" spans="1:66" ht="13.5" thickBot="1" x14ac:dyDescent="0.25">
      <c r="A15" s="153" t="s">
        <v>88</v>
      </c>
      <c r="B15" s="154"/>
      <c r="C15" s="155" t="s">
        <v>54</v>
      </c>
      <c r="D15" s="156"/>
      <c r="E15" s="167">
        <f t="shared" ref="E15" si="33">IF(B15="",0,IF(DAY(B15)&gt;15,1,0.5))</f>
        <v>0</v>
      </c>
      <c r="F15" s="167">
        <f>IF(DAY(B15)=14,MONTH(B15),MONTH(B15)+0.5)</f>
        <v>1.5</v>
      </c>
      <c r="G15" s="275"/>
      <c r="K15" s="1">
        <v>12</v>
      </c>
      <c r="L15" s="1">
        <v>4</v>
      </c>
      <c r="M15" s="1">
        <f t="shared" si="4"/>
        <v>6</v>
      </c>
      <c r="N15" s="1">
        <v>8</v>
      </c>
      <c r="O15" s="1">
        <f t="shared" si="5"/>
        <v>10</v>
      </c>
      <c r="P15" s="1">
        <v>12</v>
      </c>
      <c r="Q15" s="1">
        <f t="shared" si="6"/>
        <v>14</v>
      </c>
      <c r="R15" s="1">
        <v>16</v>
      </c>
      <c r="S15" s="1">
        <f t="shared" si="7"/>
        <v>18</v>
      </c>
      <c r="T15" s="1">
        <v>20</v>
      </c>
      <c r="U15" s="1">
        <f t="shared" si="8"/>
        <v>22</v>
      </c>
      <c r="V15" s="1">
        <v>24</v>
      </c>
      <c r="W15" s="1">
        <f t="shared" si="9"/>
        <v>26</v>
      </c>
      <c r="X15" s="1">
        <v>28</v>
      </c>
      <c r="Y15" s="1">
        <f t="shared" si="10"/>
        <v>30</v>
      </c>
      <c r="Z15" s="1">
        <v>32</v>
      </c>
      <c r="AA15" s="1">
        <f t="shared" si="11"/>
        <v>34</v>
      </c>
      <c r="AB15" s="1">
        <v>36</v>
      </c>
      <c r="AC15" s="1">
        <f t="shared" si="12"/>
        <v>38</v>
      </c>
      <c r="AD15" s="1">
        <v>40</v>
      </c>
      <c r="AE15" s="1">
        <f t="shared" si="13"/>
        <v>42</v>
      </c>
      <c r="AF15" s="1">
        <v>44</v>
      </c>
      <c r="AG15" s="1">
        <f t="shared" si="14"/>
        <v>46</v>
      </c>
      <c r="AH15" s="1">
        <v>48</v>
      </c>
      <c r="AI15" s="1">
        <v>6</v>
      </c>
      <c r="AJ15" s="1">
        <f t="shared" si="18"/>
        <v>0</v>
      </c>
      <c r="AK15" s="1">
        <f t="shared" si="19"/>
        <v>0</v>
      </c>
      <c r="AL15" s="1">
        <f t="shared" si="20"/>
        <v>0</v>
      </c>
      <c r="AM15" s="1">
        <f t="shared" si="21"/>
        <v>0</v>
      </c>
      <c r="AP15" s="1">
        <f t="shared" si="22"/>
        <v>0</v>
      </c>
      <c r="AT15" s="1">
        <v>12</v>
      </c>
      <c r="AU15" s="1">
        <f t="shared" si="31"/>
        <v>0</v>
      </c>
      <c r="AV15" s="1" t="str">
        <f>IF(ISNA(INDEX($L$4:$AH$22,MATCH(AT15,$K$4:$K$22,0),MATCH(AU15,$L$3:$AH$3,0))),"",INDEX($L$4:$AH$22,MATCH(AT15,$K$4:$K$22,0),MATCH(AU15,$L$3:$AH$3,0)))</f>
        <v/>
      </c>
      <c r="AW15" s="40"/>
      <c r="AX15" s="40"/>
      <c r="AY15" s="40"/>
      <c r="AZ15" s="40"/>
      <c r="BA15" s="40"/>
      <c r="BB15" s="40"/>
    </row>
    <row r="16" spans="1:66" x14ac:dyDescent="0.2">
      <c r="A16" s="62"/>
      <c r="B16" s="40"/>
      <c r="C16" s="40"/>
      <c r="D16" s="40"/>
      <c r="E16" s="81"/>
      <c r="F16" s="81"/>
      <c r="G16" s="275"/>
      <c r="K16" s="1">
        <v>13</v>
      </c>
      <c r="L16" s="1">
        <v>4.25</v>
      </c>
      <c r="M16" s="1">
        <f t="shared" si="4"/>
        <v>6.375</v>
      </c>
      <c r="N16" s="1">
        <v>8.5</v>
      </c>
      <c r="O16" s="1">
        <f t="shared" si="5"/>
        <v>10.75</v>
      </c>
      <c r="P16" s="1">
        <v>13</v>
      </c>
      <c r="Q16" s="1">
        <f t="shared" si="6"/>
        <v>15.125</v>
      </c>
      <c r="R16" s="1">
        <v>17.25</v>
      </c>
      <c r="S16" s="1">
        <f t="shared" si="7"/>
        <v>19.375</v>
      </c>
      <c r="T16" s="1">
        <v>21.5</v>
      </c>
      <c r="U16" s="1">
        <f t="shared" si="8"/>
        <v>23.75</v>
      </c>
      <c r="V16" s="1">
        <v>26</v>
      </c>
      <c r="W16" s="1">
        <f t="shared" si="9"/>
        <v>28.125</v>
      </c>
      <c r="X16" s="1">
        <v>30.25</v>
      </c>
      <c r="Y16" s="1">
        <f t="shared" si="10"/>
        <v>32.375</v>
      </c>
      <c r="Z16" s="1">
        <v>34.5</v>
      </c>
      <c r="AA16" s="1">
        <f t="shared" si="11"/>
        <v>36.75</v>
      </c>
      <c r="AB16" s="1">
        <v>39</v>
      </c>
      <c r="AC16" s="1">
        <f t="shared" si="12"/>
        <v>41.125</v>
      </c>
      <c r="AD16" s="1">
        <v>43.25</v>
      </c>
      <c r="AE16" s="1">
        <f t="shared" si="13"/>
        <v>45.375</v>
      </c>
      <c r="AF16" s="1">
        <v>47.5</v>
      </c>
      <c r="AG16" s="1">
        <f t="shared" si="14"/>
        <v>49.75</v>
      </c>
      <c r="AH16" s="1">
        <v>52</v>
      </c>
      <c r="AI16" s="1">
        <v>6.5</v>
      </c>
      <c r="AJ16" s="1">
        <f t="shared" si="18"/>
        <v>0</v>
      </c>
      <c r="AK16" s="1">
        <f t="shared" si="19"/>
        <v>0</v>
      </c>
      <c r="AL16" s="1">
        <f t="shared" si="20"/>
        <v>0</v>
      </c>
      <c r="AM16" s="1">
        <f t="shared" si="21"/>
        <v>0</v>
      </c>
      <c r="AP16" s="1">
        <f t="shared" si="22"/>
        <v>0</v>
      </c>
      <c r="AT16" s="1">
        <v>13</v>
      </c>
      <c r="AU16" s="1">
        <f t="shared" si="31"/>
        <v>0</v>
      </c>
      <c r="AV16" s="1" t="str">
        <f t="shared" si="32"/>
        <v/>
      </c>
    </row>
    <row r="17" spans="1:53" x14ac:dyDescent="0.2">
      <c r="A17" s="144" t="s">
        <v>60</v>
      </c>
      <c r="B17" s="61"/>
      <c r="C17" s="40"/>
      <c r="D17" s="40"/>
      <c r="E17" s="40"/>
      <c r="F17" s="40"/>
      <c r="G17" s="275"/>
      <c r="K17" s="1">
        <v>14</v>
      </c>
      <c r="L17" s="1">
        <v>4.5</v>
      </c>
      <c r="M17" s="1">
        <f t="shared" si="4"/>
        <v>6.875</v>
      </c>
      <c r="N17" s="1">
        <v>9.25</v>
      </c>
      <c r="O17" s="1">
        <f t="shared" si="5"/>
        <v>11.625</v>
      </c>
      <c r="P17" s="1">
        <v>14</v>
      </c>
      <c r="Q17" s="1">
        <f t="shared" si="6"/>
        <v>16.25</v>
      </c>
      <c r="R17" s="1">
        <v>18.5</v>
      </c>
      <c r="S17" s="1">
        <f t="shared" si="7"/>
        <v>20.875</v>
      </c>
      <c r="T17" s="1">
        <v>23.25</v>
      </c>
      <c r="U17" s="1">
        <f t="shared" si="8"/>
        <v>25.625</v>
      </c>
      <c r="V17" s="1">
        <v>28</v>
      </c>
      <c r="W17" s="1">
        <f t="shared" si="9"/>
        <v>30.25</v>
      </c>
      <c r="X17" s="1">
        <v>32.5</v>
      </c>
      <c r="Y17" s="1">
        <f t="shared" si="10"/>
        <v>34.875</v>
      </c>
      <c r="Z17" s="1">
        <v>37.25</v>
      </c>
      <c r="AA17" s="1">
        <f t="shared" si="11"/>
        <v>39.625</v>
      </c>
      <c r="AB17" s="1">
        <v>42</v>
      </c>
      <c r="AC17" s="1">
        <f t="shared" si="12"/>
        <v>44.25</v>
      </c>
      <c r="AD17" s="1">
        <v>46.5</v>
      </c>
      <c r="AE17" s="1">
        <f t="shared" si="13"/>
        <v>48.875</v>
      </c>
      <c r="AF17" s="1">
        <v>51.25</v>
      </c>
      <c r="AG17" s="1">
        <f t="shared" si="14"/>
        <v>53.625</v>
      </c>
      <c r="AH17" s="1">
        <v>56</v>
      </c>
      <c r="AI17" s="1">
        <v>7</v>
      </c>
      <c r="AJ17" s="1">
        <f t="shared" si="18"/>
        <v>0</v>
      </c>
      <c r="AK17" s="1">
        <f t="shared" si="19"/>
        <v>0</v>
      </c>
      <c r="AL17" s="1">
        <f t="shared" si="20"/>
        <v>0</v>
      </c>
      <c r="AM17" s="1">
        <f t="shared" si="21"/>
        <v>0</v>
      </c>
      <c r="AP17" s="1">
        <f t="shared" si="22"/>
        <v>0</v>
      </c>
      <c r="AT17" s="1">
        <v>14</v>
      </c>
      <c r="AU17" s="1">
        <f t="shared" si="31"/>
        <v>0</v>
      </c>
      <c r="AV17" s="1" t="str">
        <f t="shared" si="32"/>
        <v/>
      </c>
    </row>
    <row r="18" spans="1:53" x14ac:dyDescent="0.2">
      <c r="A18" s="62"/>
      <c r="B18" s="82" t="s">
        <v>61</v>
      </c>
      <c r="C18" s="82" t="s">
        <v>62</v>
      </c>
      <c r="D18" s="82" t="s">
        <v>63</v>
      </c>
      <c r="E18" s="82" t="s">
        <v>57</v>
      </c>
      <c r="F18" s="40"/>
      <c r="G18" s="187"/>
      <c r="K18" s="1">
        <v>15</v>
      </c>
      <c r="L18" s="1">
        <v>5</v>
      </c>
      <c r="M18" s="1">
        <f t="shared" si="4"/>
        <v>7.5</v>
      </c>
      <c r="N18" s="1">
        <v>10</v>
      </c>
      <c r="O18" s="1">
        <f t="shared" si="5"/>
        <v>12.5</v>
      </c>
      <c r="P18" s="1">
        <v>15</v>
      </c>
      <c r="Q18" s="1">
        <f t="shared" si="6"/>
        <v>17.5</v>
      </c>
      <c r="R18" s="1">
        <v>20</v>
      </c>
      <c r="S18" s="1">
        <f t="shared" si="7"/>
        <v>22.5</v>
      </c>
      <c r="T18" s="1">
        <v>25</v>
      </c>
      <c r="U18" s="1">
        <f t="shared" si="8"/>
        <v>27.5</v>
      </c>
      <c r="V18" s="1">
        <v>30</v>
      </c>
      <c r="W18" s="1">
        <f t="shared" si="9"/>
        <v>32.5</v>
      </c>
      <c r="X18" s="1">
        <v>35</v>
      </c>
      <c r="Y18" s="1">
        <f t="shared" si="10"/>
        <v>37.5</v>
      </c>
      <c r="Z18" s="1">
        <v>40</v>
      </c>
      <c r="AA18" s="1">
        <f t="shared" si="11"/>
        <v>42.5</v>
      </c>
      <c r="AB18" s="1">
        <v>45</v>
      </c>
      <c r="AC18" s="1">
        <f t="shared" si="12"/>
        <v>47.5</v>
      </c>
      <c r="AD18" s="1">
        <v>50</v>
      </c>
      <c r="AE18" s="1">
        <f t="shared" si="13"/>
        <v>52.5</v>
      </c>
      <c r="AF18" s="1">
        <v>55</v>
      </c>
      <c r="AG18" s="1">
        <f t="shared" si="14"/>
        <v>57.5</v>
      </c>
      <c r="AH18" s="1">
        <v>60</v>
      </c>
      <c r="AI18" s="1">
        <v>7.5</v>
      </c>
      <c r="AJ18" s="1">
        <f t="shared" si="18"/>
        <v>0</v>
      </c>
      <c r="AK18" s="1">
        <f t="shared" si="19"/>
        <v>0</v>
      </c>
      <c r="AL18" s="1">
        <f t="shared" si="20"/>
        <v>0</v>
      </c>
      <c r="AM18" s="1">
        <f t="shared" si="21"/>
        <v>0</v>
      </c>
      <c r="AP18" s="1">
        <f t="shared" si="22"/>
        <v>0</v>
      </c>
      <c r="AT18" s="1">
        <v>15</v>
      </c>
      <c r="AU18" s="1">
        <f t="shared" si="31"/>
        <v>0</v>
      </c>
      <c r="AV18" s="1" t="str">
        <f t="shared" si="32"/>
        <v/>
      </c>
    </row>
    <row r="19" spans="1:53" x14ac:dyDescent="0.2">
      <c r="A19" s="73" t="s">
        <v>9</v>
      </c>
      <c r="B19" s="105" t="str">
        <f>IF(Jan!I46&lt;1,"",Jan!$I$46/60)</f>
        <v/>
      </c>
      <c r="C19" s="105" t="str">
        <f>IF(B19="","",Jan!$I$43/60)</f>
        <v/>
      </c>
      <c r="D19" s="105" t="str">
        <f ca="1">IF(B19="","",IF(AND(YEAR(TODAY())=$D$5,MONTH(TODAY())&gt;=G19),C19-B19,""))</f>
        <v/>
      </c>
      <c r="E19" s="106">
        <f>Jan!$Q$44</f>
        <v>0</v>
      </c>
      <c r="F19" s="40"/>
      <c r="G19" s="81">
        <v>1</v>
      </c>
      <c r="K19" s="1">
        <v>16</v>
      </c>
      <c r="L19" s="1">
        <v>5.25</v>
      </c>
      <c r="M19" s="1">
        <f t="shared" si="4"/>
        <v>7.875</v>
      </c>
      <c r="N19" s="1">
        <v>10.5</v>
      </c>
      <c r="O19" s="1">
        <f t="shared" si="5"/>
        <v>13.25</v>
      </c>
      <c r="P19" s="1">
        <v>16</v>
      </c>
      <c r="Q19" s="1">
        <f t="shared" si="6"/>
        <v>18.625</v>
      </c>
      <c r="R19" s="1">
        <v>21.25</v>
      </c>
      <c r="S19" s="1">
        <f t="shared" si="7"/>
        <v>23.875</v>
      </c>
      <c r="T19" s="1">
        <v>26.5</v>
      </c>
      <c r="U19" s="1">
        <f t="shared" si="8"/>
        <v>29.25</v>
      </c>
      <c r="V19" s="1">
        <v>32</v>
      </c>
      <c r="W19" s="1">
        <f t="shared" si="9"/>
        <v>34.625</v>
      </c>
      <c r="X19" s="1">
        <v>37.25</v>
      </c>
      <c r="Y19" s="1">
        <f t="shared" si="10"/>
        <v>39.875</v>
      </c>
      <c r="Z19" s="1">
        <v>42.5</v>
      </c>
      <c r="AA19" s="1">
        <f t="shared" si="11"/>
        <v>45.25</v>
      </c>
      <c r="AB19" s="1">
        <v>48</v>
      </c>
      <c r="AC19" s="1">
        <f t="shared" si="12"/>
        <v>50.625</v>
      </c>
      <c r="AD19" s="1">
        <v>53.25</v>
      </c>
      <c r="AE19" s="1">
        <f t="shared" si="13"/>
        <v>55.875</v>
      </c>
      <c r="AF19" s="1">
        <v>58.5</v>
      </c>
      <c r="AG19" s="1">
        <f t="shared" si="14"/>
        <v>61.25</v>
      </c>
      <c r="AH19" s="1">
        <v>64</v>
      </c>
      <c r="AI19" s="1">
        <v>8</v>
      </c>
      <c r="AJ19" s="1">
        <f t="shared" si="18"/>
        <v>0</v>
      </c>
      <c r="AK19" s="1">
        <f t="shared" si="19"/>
        <v>0</v>
      </c>
      <c r="AL19" s="1">
        <f t="shared" si="20"/>
        <v>0</v>
      </c>
      <c r="AM19" s="1">
        <f t="shared" si="21"/>
        <v>0</v>
      </c>
      <c r="AP19" s="1">
        <f t="shared" si="22"/>
        <v>0</v>
      </c>
      <c r="AT19" s="1">
        <v>16</v>
      </c>
      <c r="AU19" s="1">
        <f t="shared" si="31"/>
        <v>0</v>
      </c>
      <c r="AV19" s="1" t="str">
        <f t="shared" si="32"/>
        <v/>
      </c>
    </row>
    <row r="20" spans="1:53" x14ac:dyDescent="0.2">
      <c r="A20" s="74" t="s">
        <v>15</v>
      </c>
      <c r="B20" s="107" t="str">
        <f>IF(Feb!$I$46&lt;1,"",Feb!$I$46/60)</f>
        <v/>
      </c>
      <c r="C20" s="107" t="str">
        <f>IF(B20="","",Feb!$I$43/60)</f>
        <v/>
      </c>
      <c r="D20" s="107" t="str">
        <f t="shared" ref="D20:D30" ca="1" si="34">IF(B20="","",IF(AND(YEAR(TODAY())=$D$5,MONTH(TODAY())&gt;=G20),C20-B20,""))</f>
        <v/>
      </c>
      <c r="E20" s="108">
        <f>Feb!$Q$44</f>
        <v>0</v>
      </c>
      <c r="F20" s="40"/>
      <c r="G20" s="81">
        <v>2</v>
      </c>
      <c r="K20" s="1">
        <v>17</v>
      </c>
      <c r="L20" s="1">
        <v>5.5</v>
      </c>
      <c r="M20" s="1">
        <f t="shared" si="4"/>
        <v>8.375</v>
      </c>
      <c r="N20" s="1">
        <v>11.25</v>
      </c>
      <c r="O20" s="1">
        <f t="shared" si="5"/>
        <v>14.125</v>
      </c>
      <c r="P20" s="1">
        <v>17</v>
      </c>
      <c r="Q20" s="1">
        <f t="shared" si="6"/>
        <v>19.75</v>
      </c>
      <c r="R20" s="1">
        <v>22.5</v>
      </c>
      <c r="S20" s="1">
        <f t="shared" si="7"/>
        <v>25.375</v>
      </c>
      <c r="T20" s="1">
        <v>28.25</v>
      </c>
      <c r="U20" s="1">
        <f t="shared" si="8"/>
        <v>31.125</v>
      </c>
      <c r="V20" s="1">
        <v>34</v>
      </c>
      <c r="W20" s="1">
        <f t="shared" si="9"/>
        <v>36.75</v>
      </c>
      <c r="X20" s="1">
        <v>39.5</v>
      </c>
      <c r="Y20" s="1">
        <f t="shared" si="10"/>
        <v>42.375</v>
      </c>
      <c r="Z20" s="1">
        <v>45.25</v>
      </c>
      <c r="AA20" s="1">
        <f t="shared" si="11"/>
        <v>48.125</v>
      </c>
      <c r="AB20" s="1">
        <v>51</v>
      </c>
      <c r="AC20" s="1">
        <f t="shared" si="12"/>
        <v>53.75</v>
      </c>
      <c r="AD20" s="1">
        <v>56.5</v>
      </c>
      <c r="AE20" s="1">
        <f t="shared" si="13"/>
        <v>59.375</v>
      </c>
      <c r="AF20" s="1">
        <v>62.25</v>
      </c>
      <c r="AG20" s="1">
        <f t="shared" si="14"/>
        <v>65.125</v>
      </c>
      <c r="AH20" s="1">
        <v>68</v>
      </c>
      <c r="AI20" s="1">
        <v>8.5</v>
      </c>
      <c r="AJ20" s="1">
        <f t="shared" si="18"/>
        <v>0</v>
      </c>
      <c r="AK20" s="1">
        <f t="shared" si="19"/>
        <v>0</v>
      </c>
      <c r="AL20" s="1">
        <f t="shared" si="20"/>
        <v>0</v>
      </c>
      <c r="AM20" s="1">
        <f t="shared" si="21"/>
        <v>0</v>
      </c>
      <c r="AP20" s="1">
        <f t="shared" si="22"/>
        <v>0</v>
      </c>
      <c r="AT20" s="1">
        <v>17</v>
      </c>
      <c r="AU20" s="1">
        <f t="shared" si="31"/>
        <v>0</v>
      </c>
      <c r="AV20" s="1" t="str">
        <f t="shared" si="32"/>
        <v/>
      </c>
      <c r="BA20"/>
    </row>
    <row r="21" spans="1:53" x14ac:dyDescent="0.2">
      <c r="A21" s="74" t="s">
        <v>16</v>
      </c>
      <c r="B21" s="107" t="str">
        <f>IF(Mrz!$I$46&lt;1,"",Mrz!$I$46/60)</f>
        <v/>
      </c>
      <c r="C21" s="107" t="str">
        <f>IF(B21="","",Mrz!$I$43/60)</f>
        <v/>
      </c>
      <c r="D21" s="107" t="str">
        <f t="shared" ca="1" si="34"/>
        <v/>
      </c>
      <c r="E21" s="108">
        <f>Mrz!$Q$44</f>
        <v>0</v>
      </c>
      <c r="F21" s="40"/>
      <c r="G21" s="81">
        <v>3</v>
      </c>
      <c r="K21" s="1">
        <v>18</v>
      </c>
      <c r="L21" s="1">
        <v>6</v>
      </c>
      <c r="M21" s="1">
        <f t="shared" si="4"/>
        <v>9</v>
      </c>
      <c r="N21" s="1">
        <v>12</v>
      </c>
      <c r="O21" s="1">
        <f t="shared" si="5"/>
        <v>15</v>
      </c>
      <c r="P21" s="1">
        <v>18</v>
      </c>
      <c r="Q21" s="1">
        <f t="shared" si="6"/>
        <v>21</v>
      </c>
      <c r="R21" s="1">
        <v>24</v>
      </c>
      <c r="S21" s="1">
        <f t="shared" si="7"/>
        <v>27</v>
      </c>
      <c r="T21" s="1">
        <v>30</v>
      </c>
      <c r="U21" s="1">
        <f t="shared" si="8"/>
        <v>33</v>
      </c>
      <c r="V21" s="1">
        <v>36</v>
      </c>
      <c r="W21" s="1">
        <f t="shared" si="9"/>
        <v>39</v>
      </c>
      <c r="X21" s="1">
        <v>42</v>
      </c>
      <c r="Y21" s="1">
        <f t="shared" si="10"/>
        <v>45</v>
      </c>
      <c r="Z21" s="1">
        <v>48</v>
      </c>
      <c r="AA21" s="1">
        <f t="shared" si="11"/>
        <v>51</v>
      </c>
      <c r="AB21" s="1">
        <v>54</v>
      </c>
      <c r="AC21" s="1">
        <f t="shared" si="12"/>
        <v>57</v>
      </c>
      <c r="AD21" s="1">
        <v>60</v>
      </c>
      <c r="AE21" s="1">
        <f t="shared" si="13"/>
        <v>63</v>
      </c>
      <c r="AF21" s="1">
        <v>66</v>
      </c>
      <c r="AG21" s="1">
        <f t="shared" si="14"/>
        <v>69</v>
      </c>
      <c r="AH21" s="1">
        <v>72</v>
      </c>
      <c r="AI21" s="1">
        <v>9</v>
      </c>
      <c r="AJ21" s="1">
        <f t="shared" si="18"/>
        <v>0</v>
      </c>
      <c r="AK21" s="1">
        <f t="shared" si="19"/>
        <v>0</v>
      </c>
      <c r="AL21" s="1">
        <f t="shared" si="20"/>
        <v>0</v>
      </c>
      <c r="AM21" s="1">
        <f t="shared" si="21"/>
        <v>0</v>
      </c>
      <c r="AP21" s="1">
        <f t="shared" si="22"/>
        <v>0</v>
      </c>
      <c r="AT21" s="1">
        <v>18</v>
      </c>
      <c r="AU21" s="1">
        <f t="shared" si="31"/>
        <v>0</v>
      </c>
      <c r="AV21" s="1" t="str">
        <f t="shared" si="32"/>
        <v/>
      </c>
    </row>
    <row r="22" spans="1:53" x14ac:dyDescent="0.2">
      <c r="A22" s="74" t="s">
        <v>17</v>
      </c>
      <c r="B22" s="107" t="str">
        <f>IF(Apr!$I$46&lt;1,"",Apr!$I$46/60)</f>
        <v/>
      </c>
      <c r="C22" s="107" t="str">
        <f>IF(B22="","",Apr!$I$43/60)</f>
        <v/>
      </c>
      <c r="D22" s="107" t="str">
        <f t="shared" ca="1" si="34"/>
        <v/>
      </c>
      <c r="E22" s="108">
        <f>Apr!$Q$44</f>
        <v>0</v>
      </c>
      <c r="F22" s="40"/>
      <c r="G22" s="81">
        <v>4</v>
      </c>
      <c r="K22" s="1">
        <v>19</v>
      </c>
      <c r="L22" s="1">
        <v>6.25</v>
      </c>
      <c r="M22" s="1">
        <f t="shared" si="4"/>
        <v>9.375</v>
      </c>
      <c r="N22" s="1">
        <v>12.5</v>
      </c>
      <c r="O22" s="1">
        <f t="shared" si="5"/>
        <v>15.75</v>
      </c>
      <c r="P22" s="1">
        <v>19</v>
      </c>
      <c r="Q22" s="1">
        <f t="shared" si="6"/>
        <v>22.125</v>
      </c>
      <c r="R22" s="1">
        <v>25.25</v>
      </c>
      <c r="S22" s="1">
        <f t="shared" si="7"/>
        <v>28.375</v>
      </c>
      <c r="T22" s="1">
        <v>31.5</v>
      </c>
      <c r="U22" s="1">
        <f t="shared" si="8"/>
        <v>34.75</v>
      </c>
      <c r="V22" s="1">
        <v>38</v>
      </c>
      <c r="W22" s="1">
        <f t="shared" si="9"/>
        <v>41.125</v>
      </c>
      <c r="X22" s="1">
        <v>44.25</v>
      </c>
      <c r="Y22" s="1">
        <f t="shared" si="10"/>
        <v>47.375</v>
      </c>
      <c r="Z22" s="1">
        <v>50.5</v>
      </c>
      <c r="AA22" s="1">
        <f t="shared" si="11"/>
        <v>53.75</v>
      </c>
      <c r="AB22" s="1">
        <v>57</v>
      </c>
      <c r="AC22" s="1">
        <f t="shared" si="12"/>
        <v>60.125</v>
      </c>
      <c r="AD22" s="1">
        <v>63.25</v>
      </c>
      <c r="AE22" s="1">
        <f t="shared" si="13"/>
        <v>66.375</v>
      </c>
      <c r="AF22" s="1">
        <v>69.5</v>
      </c>
      <c r="AG22" s="1">
        <f t="shared" si="14"/>
        <v>72.75</v>
      </c>
      <c r="AH22" s="1">
        <v>76</v>
      </c>
      <c r="AI22" s="1">
        <v>9.5</v>
      </c>
      <c r="AJ22" s="1">
        <f t="shared" si="18"/>
        <v>0</v>
      </c>
      <c r="AK22" s="1">
        <f t="shared" si="19"/>
        <v>0</v>
      </c>
      <c r="AL22" s="1">
        <f t="shared" si="20"/>
        <v>0</v>
      </c>
      <c r="AM22" s="1">
        <f t="shared" si="21"/>
        <v>0</v>
      </c>
      <c r="AP22" s="1">
        <f t="shared" si="22"/>
        <v>0</v>
      </c>
      <c r="AT22" s="1">
        <v>19</v>
      </c>
      <c r="AU22" s="1">
        <f t="shared" si="31"/>
        <v>0</v>
      </c>
      <c r="AV22" s="1" t="str">
        <f t="shared" si="32"/>
        <v/>
      </c>
    </row>
    <row r="23" spans="1:53" x14ac:dyDescent="0.2">
      <c r="A23" s="74" t="s">
        <v>18</v>
      </c>
      <c r="B23" s="107" t="str">
        <f>IF(Mai!$I$46&lt;1,"",Mai!$I$46/60)</f>
        <v/>
      </c>
      <c r="C23" s="107" t="str">
        <f>IF(B23="","",Mai!$I$43/60)</f>
        <v/>
      </c>
      <c r="D23" s="107" t="str">
        <f t="shared" ca="1" si="34"/>
        <v/>
      </c>
      <c r="E23" s="108">
        <f>Mai!$Q$44</f>
        <v>0</v>
      </c>
      <c r="F23" s="40"/>
      <c r="G23" s="81">
        <v>5</v>
      </c>
      <c r="AI23" s="1">
        <v>10</v>
      </c>
      <c r="AJ23" s="1">
        <f t="shared" si="18"/>
        <v>0</v>
      </c>
      <c r="AK23" s="1">
        <f t="shared" si="19"/>
        <v>0</v>
      </c>
      <c r="AL23" s="1">
        <f t="shared" si="20"/>
        <v>0</v>
      </c>
      <c r="AM23" s="1">
        <f t="shared" si="21"/>
        <v>0</v>
      </c>
      <c r="AP23" s="1">
        <f t="shared" si="22"/>
        <v>0</v>
      </c>
    </row>
    <row r="24" spans="1:53" x14ac:dyDescent="0.2">
      <c r="A24" s="74" t="s">
        <v>19</v>
      </c>
      <c r="B24" s="107" t="str">
        <f>IF(Jun!$I$46&lt;1,"",Jun!$I$46/60)</f>
        <v/>
      </c>
      <c r="C24" s="107" t="str">
        <f>IF(B24="","",Jun!$I$43/60)</f>
        <v/>
      </c>
      <c r="D24" s="107" t="str">
        <f t="shared" ca="1" si="34"/>
        <v/>
      </c>
      <c r="E24" s="108">
        <f>Jun!$Q$44</f>
        <v>0</v>
      </c>
      <c r="F24" s="40"/>
      <c r="G24" s="81">
        <v>6</v>
      </c>
      <c r="AI24" s="1">
        <v>10.5</v>
      </c>
      <c r="AJ24" s="1">
        <f t="shared" si="18"/>
        <v>0</v>
      </c>
      <c r="AK24" s="1">
        <f t="shared" si="19"/>
        <v>0</v>
      </c>
      <c r="AL24" s="1">
        <f t="shared" si="20"/>
        <v>0</v>
      </c>
      <c r="AM24" s="1">
        <f t="shared" si="21"/>
        <v>0</v>
      </c>
      <c r="AP24" s="1">
        <f t="shared" si="22"/>
        <v>0</v>
      </c>
    </row>
    <row r="25" spans="1:53" x14ac:dyDescent="0.2">
      <c r="A25" s="74" t="s">
        <v>20</v>
      </c>
      <c r="B25" s="107" t="str">
        <f>IF(Jul!$I$46&lt;1,"",Jul!$I$46/60)</f>
        <v/>
      </c>
      <c r="C25" s="107" t="str">
        <f>IF(B25="","",Jul!$I$43/60)</f>
        <v/>
      </c>
      <c r="D25" s="107" t="str">
        <f t="shared" ca="1" si="34"/>
        <v/>
      </c>
      <c r="E25" s="108">
        <f>Jul!$Q$44</f>
        <v>0</v>
      </c>
      <c r="F25" s="40"/>
      <c r="G25" s="81">
        <v>7</v>
      </c>
      <c r="AI25" s="1">
        <v>11</v>
      </c>
      <c r="AJ25" s="1">
        <f t="shared" si="18"/>
        <v>0</v>
      </c>
      <c r="AK25" s="1">
        <f t="shared" si="19"/>
        <v>0</v>
      </c>
      <c r="AL25" s="1">
        <f t="shared" si="20"/>
        <v>0</v>
      </c>
      <c r="AM25" s="1">
        <f t="shared" si="21"/>
        <v>0</v>
      </c>
      <c r="AP25" s="1">
        <f t="shared" si="22"/>
        <v>0</v>
      </c>
    </row>
    <row r="26" spans="1:53" x14ac:dyDescent="0.2">
      <c r="A26" s="74" t="s">
        <v>21</v>
      </c>
      <c r="B26" s="107" t="str">
        <f>IF(Aug!$I$46&lt;1,"",Aug!$I$46/60)</f>
        <v/>
      </c>
      <c r="C26" s="107" t="str">
        <f>IF(B26="","",Aug!$I$43/60)</f>
        <v/>
      </c>
      <c r="D26" s="107" t="str">
        <f t="shared" ca="1" si="34"/>
        <v/>
      </c>
      <c r="E26" s="108">
        <f>Aug!$Q$44</f>
        <v>0</v>
      </c>
      <c r="F26" s="40"/>
      <c r="G26" s="81">
        <v>8</v>
      </c>
      <c r="AI26" s="1">
        <v>11.5</v>
      </c>
      <c r="AJ26" s="1">
        <f t="shared" si="18"/>
        <v>0</v>
      </c>
      <c r="AK26" s="1">
        <f t="shared" si="19"/>
        <v>0</v>
      </c>
      <c r="AL26" s="1">
        <f t="shared" si="20"/>
        <v>0</v>
      </c>
      <c r="AM26" s="1">
        <f t="shared" si="21"/>
        <v>0</v>
      </c>
      <c r="AP26" s="1">
        <f t="shared" si="22"/>
        <v>0</v>
      </c>
    </row>
    <row r="27" spans="1:53" x14ac:dyDescent="0.2">
      <c r="A27" s="74" t="s">
        <v>22</v>
      </c>
      <c r="B27" s="107" t="str">
        <f>IF(Sep!$I$46&lt;1,"",Sep!$I$46/60)</f>
        <v/>
      </c>
      <c r="C27" s="107" t="str">
        <f>IF(B27="","",Sep!$I$43/60)</f>
        <v/>
      </c>
      <c r="D27" s="107" t="str">
        <f t="shared" ca="1" si="34"/>
        <v/>
      </c>
      <c r="E27" s="108">
        <f>Sep!$Q$44</f>
        <v>0</v>
      </c>
      <c r="F27" s="40"/>
      <c r="G27" s="81">
        <v>9</v>
      </c>
      <c r="AI27" s="1">
        <v>12</v>
      </c>
      <c r="AJ27" s="1">
        <f t="shared" si="18"/>
        <v>0</v>
      </c>
      <c r="AK27" s="1">
        <f t="shared" si="19"/>
        <v>0</v>
      </c>
      <c r="AL27" s="1">
        <f t="shared" si="20"/>
        <v>0</v>
      </c>
      <c r="AM27" s="1">
        <f t="shared" si="21"/>
        <v>0</v>
      </c>
      <c r="AP27" s="1">
        <f t="shared" si="22"/>
        <v>0</v>
      </c>
    </row>
    <row r="28" spans="1:53" x14ac:dyDescent="0.2">
      <c r="A28" s="74" t="s">
        <v>23</v>
      </c>
      <c r="B28" s="107" t="str">
        <f>IF(Okt!$I$46&lt;1,"",Okt!$I$46/60)</f>
        <v/>
      </c>
      <c r="C28" s="107" t="str">
        <f>IF(B28="","",Okt!$I$43/60)</f>
        <v/>
      </c>
      <c r="D28" s="107" t="str">
        <f t="shared" ca="1" si="34"/>
        <v/>
      </c>
      <c r="E28" s="108">
        <f>Okt!$Q$44</f>
        <v>0</v>
      </c>
      <c r="F28" s="40"/>
      <c r="G28" s="81">
        <v>10</v>
      </c>
      <c r="AI28" s="1">
        <v>12.5</v>
      </c>
      <c r="AJ28" s="1">
        <f t="shared" si="18"/>
        <v>0</v>
      </c>
      <c r="AK28" s="1">
        <f t="shared" si="19"/>
        <v>0</v>
      </c>
      <c r="AL28" s="1">
        <f t="shared" si="20"/>
        <v>0</v>
      </c>
      <c r="AM28" s="1">
        <f t="shared" si="21"/>
        <v>0</v>
      </c>
      <c r="AP28" s="1">
        <f t="shared" si="22"/>
        <v>0</v>
      </c>
    </row>
    <row r="29" spans="1:53" x14ac:dyDescent="0.2">
      <c r="A29" s="74" t="s">
        <v>24</v>
      </c>
      <c r="B29" s="107" t="str">
        <f>IF(Nov!$I$46&lt;1,"",Nov!$I$46/60)</f>
        <v/>
      </c>
      <c r="C29" s="107" t="str">
        <f>IF(B29="","",Nov!$I$43/60)</f>
        <v/>
      </c>
      <c r="D29" s="107" t="str">
        <f t="shared" ca="1" si="34"/>
        <v/>
      </c>
      <c r="E29" s="108">
        <f>Nov!$Q$44</f>
        <v>0</v>
      </c>
      <c r="F29" s="40"/>
      <c r="G29" s="81">
        <v>11</v>
      </c>
    </row>
    <row r="30" spans="1:53" x14ac:dyDescent="0.2">
      <c r="A30" s="75" t="s">
        <v>25</v>
      </c>
      <c r="B30" s="109" t="str">
        <f>IF(Dez!$I$46&lt;1,"",Dez!$I$46/60)</f>
        <v/>
      </c>
      <c r="C30" s="109" t="str">
        <f>IF(B30="","",Dez!$I$43/60)</f>
        <v/>
      </c>
      <c r="D30" s="109" t="str">
        <f t="shared" ca="1" si="34"/>
        <v/>
      </c>
      <c r="E30" s="110">
        <f>Dez!$Q$44</f>
        <v>0</v>
      </c>
      <c r="F30" s="40"/>
      <c r="G30" s="81">
        <v>12</v>
      </c>
    </row>
    <row r="31" spans="1:53" x14ac:dyDescent="0.2">
      <c r="A31" s="40" t="s">
        <v>55</v>
      </c>
      <c r="B31" s="111">
        <f>SUM(B19:B30)</f>
        <v>0</v>
      </c>
      <c r="C31" s="111">
        <f>SUM(C19:C30)</f>
        <v>0</v>
      </c>
      <c r="D31" s="111">
        <f ca="1">SUM(D19:D30)</f>
        <v>0</v>
      </c>
      <c r="E31" s="111">
        <f>SUM(E19:E30)</f>
        <v>0</v>
      </c>
      <c r="F31" s="40"/>
      <c r="G31" s="111"/>
    </row>
    <row r="32" spans="1:53" x14ac:dyDescent="0.2">
      <c r="A32" s="40"/>
      <c r="B32" s="40"/>
      <c r="C32" s="40"/>
      <c r="D32" s="40"/>
      <c r="E32" s="40"/>
      <c r="F32" s="40"/>
      <c r="G32" s="40"/>
    </row>
    <row r="33" spans="1:7" ht="15.75" x14ac:dyDescent="0.25">
      <c r="A33" s="87" t="s">
        <v>77</v>
      </c>
      <c r="B33" s="40"/>
      <c r="C33" s="40"/>
      <c r="D33" s="40"/>
      <c r="E33" s="40"/>
      <c r="F33" s="40"/>
      <c r="G33" s="40"/>
    </row>
    <row r="34" spans="1:7" ht="42" customHeight="1" x14ac:dyDescent="0.2">
      <c r="A34" s="269" t="s">
        <v>76</v>
      </c>
      <c r="B34" s="269"/>
      <c r="C34" s="269"/>
      <c r="D34" s="269"/>
      <c r="E34" s="269"/>
      <c r="F34" s="269"/>
      <c r="G34" s="269"/>
    </row>
    <row r="35" spans="1:7" x14ac:dyDescent="0.2">
      <c r="A35" s="40" t="s">
        <v>69</v>
      </c>
      <c r="B35" s="40" t="s">
        <v>51</v>
      </c>
      <c r="C35" s="40"/>
      <c r="D35" s="40"/>
      <c r="E35" s="40"/>
      <c r="F35" s="40"/>
      <c r="G35" s="40"/>
    </row>
    <row r="36" spans="1:7" x14ac:dyDescent="0.2">
      <c r="A36" s="40" t="s">
        <v>71</v>
      </c>
      <c r="B36" s="85"/>
      <c r="C36" s="40"/>
      <c r="D36" s="276" t="s">
        <v>108</v>
      </c>
      <c r="E36" s="276"/>
      <c r="F36" s="276"/>
      <c r="G36" s="276"/>
    </row>
    <row r="37" spans="1:7" x14ac:dyDescent="0.2">
      <c r="A37" s="40" t="s">
        <v>72</v>
      </c>
      <c r="B37" s="86"/>
      <c r="C37" s="40"/>
      <c r="D37" s="276"/>
      <c r="E37" s="276"/>
      <c r="F37" s="276"/>
      <c r="G37" s="276"/>
    </row>
    <row r="38" spans="1:7" x14ac:dyDescent="0.2">
      <c r="A38" s="40" t="s">
        <v>73</v>
      </c>
      <c r="B38" s="86"/>
      <c r="C38" s="40"/>
      <c r="D38" s="276"/>
      <c r="E38" s="276"/>
      <c r="F38" s="276"/>
      <c r="G38" s="276"/>
    </row>
    <row r="39" spans="1:7" x14ac:dyDescent="0.2">
      <c r="A39" s="40" t="s">
        <v>74</v>
      </c>
      <c r="B39" s="86"/>
      <c r="C39" s="40"/>
      <c r="D39" s="276"/>
      <c r="E39" s="276"/>
      <c r="F39" s="276"/>
      <c r="G39" s="276"/>
    </row>
    <row r="40" spans="1:7" x14ac:dyDescent="0.2">
      <c r="A40" s="40" t="s">
        <v>75</v>
      </c>
      <c r="B40" s="86"/>
      <c r="C40" s="40"/>
      <c r="D40" s="276"/>
      <c r="E40" s="276"/>
      <c r="F40" s="276"/>
      <c r="G40" s="276"/>
    </row>
    <row r="41" spans="1:7" x14ac:dyDescent="0.2">
      <c r="A41" s="40"/>
      <c r="B41" s="40">
        <f>SUM(B36:B40)</f>
        <v>0</v>
      </c>
      <c r="C41" s="40" t="str">
        <f>IF(B41&lt;E5,"zu wenig",IF(B41&gt;E5,"zu viel",""))</f>
        <v/>
      </c>
      <c r="D41" s="40"/>
      <c r="E41" s="40"/>
      <c r="F41" s="40"/>
      <c r="G41" s="40"/>
    </row>
    <row r="42" spans="1:7" x14ac:dyDescent="0.2">
      <c r="A42" s="69" t="s">
        <v>6</v>
      </c>
      <c r="B42" s="61"/>
      <c r="C42" s="62"/>
      <c r="D42" s="40"/>
      <c r="E42" s="40"/>
      <c r="F42" s="40"/>
    </row>
    <row r="43" spans="1:7" ht="39.75" customHeight="1" x14ac:dyDescent="0.2">
      <c r="A43" s="270" t="s">
        <v>65</v>
      </c>
      <c r="B43" s="270"/>
      <c r="C43" s="270"/>
      <c r="D43" s="270"/>
      <c r="E43" s="270"/>
      <c r="F43" s="270"/>
      <c r="G43" s="270"/>
    </row>
  </sheetData>
  <mergeCells count="7">
    <mergeCell ref="A34:G34"/>
    <mergeCell ref="A43:G43"/>
    <mergeCell ref="AX1:AY1"/>
    <mergeCell ref="BC1:BG1"/>
    <mergeCell ref="BH1:BL1"/>
    <mergeCell ref="G8:G17"/>
    <mergeCell ref="D36:G40"/>
  </mergeCells>
  <phoneticPr fontId="0" type="noConversion"/>
  <conditionalFormatting sqref="B41">
    <cfRule type="expression" dxfId="232" priority="7">
      <formula>$B$41&gt;$E$5</formula>
    </cfRule>
    <cfRule type="expression" dxfId="231" priority="8">
      <formula>$B$41=$E$5</formula>
    </cfRule>
    <cfRule type="expression" dxfId="230" priority="9">
      <formula>$B$41&lt;$E$5</formula>
    </cfRule>
  </conditionalFormatting>
  <conditionalFormatting sqref="BC3:BG14">
    <cfRule type="cellIs" dxfId="229" priority="6" operator="equal">
      <formula>0</formula>
    </cfRule>
  </conditionalFormatting>
  <conditionalFormatting sqref="BH3:BL14">
    <cfRule type="cellIs" dxfId="228" priority="5" operator="equal">
      <formula>0</formula>
    </cfRule>
  </conditionalFormatting>
  <conditionalFormatting sqref="B19:E31">
    <cfRule type="cellIs" dxfId="227" priority="3" operator="lessThan">
      <formula>0</formula>
    </cfRule>
    <cfRule type="cellIs" dxfId="226" priority="4" operator="equal">
      <formula>0</formula>
    </cfRule>
  </conditionalFormatting>
  <conditionalFormatting sqref="AW1:AZ2 AW15:AZ15 AZ3:AZ14">
    <cfRule type="expression" dxfId="225" priority="1">
      <formula>$AX3=0</formula>
    </cfRule>
  </conditionalFormatting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 alignWithMargins="0">
    <oddHeader>&amp;C&amp;A</oddHeader>
    <oddFooter>&amp;CSeite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IF(Uebersicht!AX11&gt;0,0,"")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IF(Uebersicht!AY11&gt;0,32,"")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IF($K$7=0,"",IF(Jan!$X$1="nein","",IF($X$1="nein","",IF(W3&gt;0,W3,Uebersicht!BC11))))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IF(AND(YEAR(TODAY())=G7,MONTH(TODAY())&gt;=E7,K7&gt;0),Aug!I48,0)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IF($K$7=0,"",IF(Jan!$X$1="nein","",IF($X$1="nein","",IF(W4&gt;0,W4,Uebersicht!BD11))))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IF($K$7=0,"",IF(Jan!$X$1="nein","",IF($X$1="nein","",IF(W5&gt;0,W5,Uebersicht!BE11))))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IF($K$7=0,"",IF(Jan!$X$1="nein","",IF($X$1="nein","",IF(W6&gt;0,W6,Uebersicht!BF11))))</f>
        <v/>
      </c>
      <c r="Y6" s="188">
        <f t="shared" si="0"/>
        <v>1</v>
      </c>
    </row>
    <row r="7" spans="1:25" x14ac:dyDescent="0.2">
      <c r="A7" s="286" t="s">
        <v>22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9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Uebersicht!AP21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IF($K$7=0,"",IF(Jan!$X$1="nein","",IF($X$1="nein","",IF(W7&gt;0,W7,Uebersicht!BG11))))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IF(Uebersicht!AP22=K7,"",Uebersicht!AP22)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Aug!Q42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9</v>
      </c>
      <c r="C11" s="194">
        <f>$G$7</f>
        <v>2017</v>
      </c>
      <c r="D11" s="195" t="str">
        <f>TEXT(DATE($G$7,$E$7,A11),"TTTT")</f>
        <v>Freitag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9</v>
      </c>
      <c r="C12" s="98">
        <f t="shared" ref="C12:C41" si="6">$G$7</f>
        <v>2017</v>
      </c>
      <c r="D12" s="200" t="str">
        <f t="shared" ref="D12:D40" si="7">TEXT(DATE($G$7,$E$7,A12),"TTTT")</f>
        <v>Samstag</v>
      </c>
      <c r="E12" s="201" t="str">
        <f>IF(ISNA(INDEX(X!$W$7:$W$20,MATCH(DATE($G$7,$E$7,A12),X!$AC$7:$AC$20,0))),"X",1)</f>
        <v>X</v>
      </c>
      <c r="F12" s="202">
        <f t="shared" si="1"/>
        <v>2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IF($K$7=0,"",IF($X$1="nein","",IF($K$8="","",IF(W12="",Uebersicht!BH11,W12))))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9</v>
      </c>
      <c r="C13" s="98">
        <f t="shared" si="6"/>
        <v>2017</v>
      </c>
      <c r="D13" s="200" t="str">
        <f t="shared" si="7"/>
        <v>Sonntag</v>
      </c>
      <c r="E13" s="201" t="str">
        <f>IF(ISNA(INDEX(X!$W$7:$W$20,MATCH(DATE($G$7,$E$7,A13),X!$AC$7:$AC$20,0))),"X",1)</f>
        <v>X</v>
      </c>
      <c r="F13" s="202">
        <f t="shared" si="1"/>
        <v>2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IF($K$7=0,"",IF($X$1="nein","",IF($K$8="","",IF(W13="",Uebersicht!BI11,W13))))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9</v>
      </c>
      <c r="C14" s="98">
        <f t="shared" si="6"/>
        <v>2017</v>
      </c>
      <c r="D14" s="200" t="str">
        <f t="shared" si="7"/>
        <v>Montag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IF($K$7=0,"",IF($X$1="nein","",IF($K$8="","",IF(W14="",Uebersicht!BJ11,W14))))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9</v>
      </c>
      <c r="C15" s="98">
        <f t="shared" si="6"/>
        <v>2017</v>
      </c>
      <c r="D15" s="200" t="str">
        <f t="shared" si="7"/>
        <v>Dienstag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IF($K$7=0,"",IF($X$1="nein","",IF($K$8="","",IF(W15="",Uebersicht!BK11,W15))))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9</v>
      </c>
      <c r="C16" s="98">
        <f t="shared" si="6"/>
        <v>2017</v>
      </c>
      <c r="D16" s="200" t="str">
        <f t="shared" si="7"/>
        <v>Mittwoch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IF($K$7=0,"",IF($X$1="nein","",IF($K$8="","",IF(W16="",Uebersicht!BL11,W16))))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9</v>
      </c>
      <c r="C17" s="98">
        <f t="shared" si="6"/>
        <v>2017</v>
      </c>
      <c r="D17" s="200" t="str">
        <f t="shared" si="7"/>
        <v>Donnerstag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9</v>
      </c>
      <c r="C18" s="98">
        <f t="shared" si="6"/>
        <v>2017</v>
      </c>
      <c r="D18" s="200" t="str">
        <f t="shared" si="7"/>
        <v>Freitag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9</v>
      </c>
      <c r="C19" s="98">
        <f t="shared" si="6"/>
        <v>2017</v>
      </c>
      <c r="D19" s="200" t="str">
        <f t="shared" si="7"/>
        <v>Samstag</v>
      </c>
      <c r="E19" s="201" t="str">
        <f>IF(ISNA(INDEX(X!$W$7:$W$20,MATCH(DATE($G$7,$E$7,A19),X!$AC$7:$AC$20,0))),"X",1)</f>
        <v>X</v>
      </c>
      <c r="F19" s="202">
        <f t="shared" si="1"/>
        <v>2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9</v>
      </c>
      <c r="C20" s="98">
        <f t="shared" si="6"/>
        <v>2017</v>
      </c>
      <c r="D20" s="200" t="str">
        <f t="shared" si="7"/>
        <v>Sonntag</v>
      </c>
      <c r="E20" s="201" t="str">
        <f>IF(ISNA(INDEX(X!$W$7:$W$20,MATCH(DATE($G$7,$E$7,A20),X!$AC$7:$AC$20,0))),"X",1)</f>
        <v>X</v>
      </c>
      <c r="F20" s="202">
        <f t="shared" si="1"/>
        <v>2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9</v>
      </c>
      <c r="C21" s="98">
        <f t="shared" si="6"/>
        <v>2017</v>
      </c>
      <c r="D21" s="200" t="str">
        <f t="shared" si="7"/>
        <v>Montag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9</v>
      </c>
      <c r="C22" s="98">
        <f t="shared" si="6"/>
        <v>2017</v>
      </c>
      <c r="D22" s="200" t="str">
        <f t="shared" si="7"/>
        <v>Dienstag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9</v>
      </c>
      <c r="C23" s="98">
        <f t="shared" si="6"/>
        <v>2017</v>
      </c>
      <c r="D23" s="200" t="str">
        <f t="shared" si="7"/>
        <v>Mittwoch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9</v>
      </c>
      <c r="C24" s="98">
        <f t="shared" si="6"/>
        <v>2017</v>
      </c>
      <c r="D24" s="200" t="str">
        <f t="shared" si="7"/>
        <v>Donnerstag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9</v>
      </c>
      <c r="C25" s="98">
        <f t="shared" si="6"/>
        <v>2017</v>
      </c>
      <c r="D25" s="200" t="str">
        <f t="shared" si="7"/>
        <v>Freitag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9</v>
      </c>
      <c r="C26" s="98">
        <f t="shared" si="6"/>
        <v>2017</v>
      </c>
      <c r="D26" s="200" t="str">
        <f t="shared" si="7"/>
        <v>Samstag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2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9</v>
      </c>
      <c r="C27" s="98">
        <f t="shared" si="6"/>
        <v>2017</v>
      </c>
      <c r="D27" s="200" t="str">
        <f t="shared" si="7"/>
        <v>Sonntag</v>
      </c>
      <c r="E27" s="201" t="str">
        <f>IF(ISNA(INDEX(X!$W$7:$W$20,MATCH(DATE($G$7,$E$7,A27),X!$AC$7:$AC$20,0))),"X",1)</f>
        <v>X</v>
      </c>
      <c r="F27" s="202">
        <f t="shared" si="17"/>
        <v>2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9</v>
      </c>
      <c r="C28" s="98">
        <f t="shared" si="6"/>
        <v>2017</v>
      </c>
      <c r="D28" s="200" t="str">
        <f t="shared" si="7"/>
        <v>Montag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9</v>
      </c>
      <c r="C29" s="98">
        <f t="shared" si="6"/>
        <v>2017</v>
      </c>
      <c r="D29" s="200" t="str">
        <f t="shared" si="7"/>
        <v>Dienstag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9</v>
      </c>
      <c r="C30" s="98">
        <f t="shared" si="6"/>
        <v>2017</v>
      </c>
      <c r="D30" s="200" t="str">
        <f t="shared" si="7"/>
        <v>Mittwoch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9</v>
      </c>
      <c r="C31" s="98">
        <f t="shared" si="6"/>
        <v>2017</v>
      </c>
      <c r="D31" s="200" t="str">
        <f t="shared" si="7"/>
        <v>Donnerstag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9</v>
      </c>
      <c r="C32" s="98">
        <f t="shared" si="6"/>
        <v>2017</v>
      </c>
      <c r="D32" s="200" t="str">
        <f t="shared" si="7"/>
        <v>Freitag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9</v>
      </c>
      <c r="C33" s="98">
        <f t="shared" si="6"/>
        <v>2017</v>
      </c>
      <c r="D33" s="200" t="str">
        <f t="shared" si="7"/>
        <v>Samstag</v>
      </c>
      <c r="E33" s="201" t="str">
        <f>IF(ISNA(INDEX(X!$W$7:$W$20,MATCH(DATE($G$7,$E$7,A33),X!$AC$7:$AC$20,0))),"X",1)</f>
        <v>X</v>
      </c>
      <c r="F33" s="202">
        <f t="shared" si="17"/>
        <v>2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9</v>
      </c>
      <c r="C34" s="98">
        <f t="shared" si="6"/>
        <v>2017</v>
      </c>
      <c r="D34" s="200" t="str">
        <f t="shared" si="7"/>
        <v>Sonntag</v>
      </c>
      <c r="E34" s="201" t="str">
        <f>IF(ISNA(INDEX(X!$W$7:$W$20,MATCH(DATE($G$7,$E$7,A34),X!$AC$7:$AC$20,0))),"X",1)</f>
        <v>X</v>
      </c>
      <c r="F34" s="202">
        <f t="shared" si="17"/>
        <v>2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9</v>
      </c>
      <c r="C35" s="98">
        <f t="shared" si="6"/>
        <v>2017</v>
      </c>
      <c r="D35" s="200" t="str">
        <f t="shared" si="7"/>
        <v>Montag</v>
      </c>
      <c r="E35" s="201" t="str">
        <f>IF(ISNA(INDEX(X!$W$7:$W$20,MATCH(DATE($G$7,$E$7,A35),X!$AC$7:$AC$20,0))),"X",1)</f>
        <v>X</v>
      </c>
      <c r="F35" s="202">
        <f t="shared" si="17"/>
        <v>1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9</v>
      </c>
      <c r="C36" s="98">
        <f t="shared" si="6"/>
        <v>2017</v>
      </c>
      <c r="D36" s="200" t="str">
        <f t="shared" si="7"/>
        <v>Dienstag</v>
      </c>
      <c r="E36" s="201" t="str">
        <f>IF(ISNA(INDEX(X!$W$7:$W$20,MATCH(DATE($G$7,$E$7,A36),X!$AC$7:$AC$20,0))),"X",1)</f>
        <v>X</v>
      </c>
      <c r="F36" s="202">
        <f t="shared" si="17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9</v>
      </c>
      <c r="C37" s="98">
        <f t="shared" si="6"/>
        <v>2017</v>
      </c>
      <c r="D37" s="200" t="str">
        <f t="shared" si="7"/>
        <v>Mittwoch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9</v>
      </c>
      <c r="C38" s="98">
        <f t="shared" si="6"/>
        <v>2017</v>
      </c>
      <c r="D38" s="200" t="str">
        <f t="shared" si="7"/>
        <v>Donnerstag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9</v>
      </c>
      <c r="C39" s="98">
        <f t="shared" si="6"/>
        <v>2017</v>
      </c>
      <c r="D39" s="200" t="str">
        <f t="shared" si="7"/>
        <v>Freitag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43007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9</v>
      </c>
      <c r="C40" s="98">
        <f t="shared" si="6"/>
        <v>2017</v>
      </c>
      <c r="D40" s="200" t="str">
        <f t="shared" si="7"/>
        <v>Samstag</v>
      </c>
      <c r="E40" s="201" t="str">
        <f>IF(ISNA(INDEX(X!$W$7:$W$20,MATCH(DATE($G$7,$E$7,A40),X!$AC$7:$AC$20,0))),"X",1)</f>
        <v>X</v>
      </c>
      <c r="F40" s="202">
        <f t="shared" si="17"/>
        <v>2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 t="str">
        <f>IF(OR(B41=1,B41=3,B41=5,B41=7,B41=8,B41=10,B41=12),31,"")</f>
        <v/>
      </c>
      <c r="B41" s="204">
        <f t="shared" si="5"/>
        <v>9</v>
      </c>
      <c r="C41" s="204">
        <f t="shared" si="6"/>
        <v>2017</v>
      </c>
      <c r="D41" s="205" t="str">
        <f>IF(A41="","",TEXT(DATE($G$7,$E$7,A41),"TTTT"))</f>
        <v/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E41 G11:K41">
    <cfRule type="expression" dxfId="92" priority="52">
      <formula>$F11=2</formula>
    </cfRule>
    <cfRule type="expression" dxfId="91" priority="54">
      <formula>$F11=1</formula>
    </cfRule>
  </conditionalFormatting>
  <conditionalFormatting sqref="L11:L41">
    <cfRule type="expression" dxfId="90" priority="29">
      <formula>$F11=2</formula>
    </cfRule>
    <cfRule type="expression" dxfId="89" priority="31">
      <formula>$F11=1</formula>
    </cfRule>
  </conditionalFormatting>
  <conditionalFormatting sqref="W8">
    <cfRule type="containsText" dxfId="88" priority="27" operator="containsText" text="zu wenig!">
      <formula>NOT(ISERROR(SEARCH("zu wenig!",W8)))</formula>
    </cfRule>
    <cfRule type="containsText" dxfId="87" priority="28" operator="containsText" text="zu viel!">
      <formula>NOT(ISERROR(SEARCH("zu viel!",W8)))</formula>
    </cfRule>
  </conditionalFormatting>
  <conditionalFormatting sqref="W17">
    <cfRule type="containsText" dxfId="86" priority="25" operator="containsText" text="zu wenig!">
      <formula>NOT(ISERROR(SEARCH("zu wenig!",W17)))</formula>
    </cfRule>
    <cfRule type="containsText" dxfId="85" priority="26" operator="containsText" text="zu viel!">
      <formula>NOT(ISERROR(SEARCH("zu viel!",W17)))</formula>
    </cfRule>
  </conditionalFormatting>
  <conditionalFormatting sqref="V10:W17">
    <cfRule type="expression" dxfId="84" priority="24">
      <formula>$K$8=""</formula>
    </cfRule>
  </conditionalFormatting>
  <conditionalFormatting sqref="X10:X17">
    <cfRule type="expression" dxfId="83" priority="19">
      <formula>$K$8=""</formula>
    </cfRule>
  </conditionalFormatting>
  <conditionalFormatting sqref="S10:T48">
    <cfRule type="expression" dxfId="80" priority="6">
      <formula>$A$9=""</formula>
    </cfRule>
  </conditionalFormatting>
  <conditionalFormatting sqref="S11:T41">
    <cfRule type="expression" dxfId="79" priority="4">
      <formula>$F11=1</formula>
    </cfRule>
    <cfRule type="expression" dxfId="78" priority="5">
      <formula>$F11=2</formula>
    </cfRule>
  </conditionalFormatting>
  <conditionalFormatting sqref="S6:T49">
    <cfRule type="expression" dxfId="77" priority="3">
      <formula>$M$8=""</formula>
    </cfRule>
  </conditionalFormatting>
  <conditionalFormatting sqref="F11:F41">
    <cfRule type="expression" dxfId="9" priority="1">
      <formula>$F11=2</formula>
    </cfRule>
    <cfRule type="expression" dxfId="8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>
    <oddFooter>&amp;CSeite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3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IF(Uebersicht!AX12&gt;0,0,"")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IF(Uebersicht!AY12&gt;0,32,"")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IF($K$7=0,"",IF(Jan!$X$1="nein","",IF($X$1="nein","",IF(W3&gt;0,W3,Uebersicht!BC12))))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IF(AND(YEAR(TODAY())=G7,MONTH(TODAY())&gt;=E7,K7&gt;0),Sep!I48,0)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IF($K$7=0,"",IF(Jan!$X$1="nein","",IF($X$1="nein","",IF(W4&gt;0,W4,Uebersicht!BD12))))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IF($K$7=0,"",IF(Jan!$X$1="nein","",IF($X$1="nein","",IF(W5&gt;0,W5,Uebersicht!BE12))))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IF($K$7=0,"",IF(Jan!$X$1="nein","",IF($X$1="nein","",IF(W6&gt;0,W6,Uebersicht!BF12))))</f>
        <v/>
      </c>
      <c r="Y6" s="188">
        <f t="shared" si="0"/>
        <v>1</v>
      </c>
    </row>
    <row r="7" spans="1:25" x14ac:dyDescent="0.2">
      <c r="A7" s="286" t="s">
        <v>23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10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Uebersicht!AP23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IF($K$7=0,"",IF(Jan!$X$1="nein","",IF($X$1="nein","",IF(W7&gt;0,W7,Uebersicht!BG12))))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IF(Uebersicht!AP24=K7,"",Uebersicht!AP24)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Sep!Q42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227">
        <v>1</v>
      </c>
      <c r="B11" s="98">
        <f>$E$7</f>
        <v>10</v>
      </c>
      <c r="C11" s="98">
        <f>$G$7</f>
        <v>2017</v>
      </c>
      <c r="D11" s="200" t="str">
        <f>TEXT(DATE($G$7,$E$7,A11),"TTTT")</f>
        <v>Sonntag</v>
      </c>
      <c r="E11" s="201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2</v>
      </c>
      <c r="G11" s="228"/>
      <c r="H11" s="226"/>
      <c r="I11" s="219" t="str">
        <f>IF($K$7=0,"",IF(AND(OR(SUM(Uebersicht!$B$36:$B$40)&gt;0,SUM($W$3:$W$7)&gt;0),G11&gt;0,H11&gt;0),M11,IF(AND(OR(SUM(Uebersicht!$B$36:$B$40)&gt;0,SUM($W$3:$W$7)&gt;0),G11="",H11=""),IF(P11=0,"",P11),M11)))</f>
        <v/>
      </c>
      <c r="J11" s="220" t="str">
        <f>IF(K11="Resturlaub",(I11/24)/60,IF(O11=0,"",O11))</f>
        <v/>
      </c>
      <c r="K11" s="229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10</v>
      </c>
      <c r="C12" s="98">
        <f t="shared" ref="C12:C41" si="6">$G$7</f>
        <v>2017</v>
      </c>
      <c r="D12" s="200" t="str">
        <f t="shared" ref="D12:D40" si="7">TEXT(DATE($G$7,$E$7,A12),"TTTT")</f>
        <v>Montag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IF($K$7=0,"",IF($X$1="nein","",IF($K$8="","",IF(W12="",Uebersicht!BH12,W12))))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10</v>
      </c>
      <c r="C13" s="98">
        <f t="shared" si="6"/>
        <v>2017</v>
      </c>
      <c r="D13" s="200" t="str">
        <f t="shared" si="7"/>
        <v>Dienstag</v>
      </c>
      <c r="E13" s="201">
        <f>IF(ISNA(INDEX(X!$W$7:$W$20,MATCH(DATE($G$7,$E$7,A13),X!$AC$7:$AC$20,0))),"X",1)</f>
        <v>1</v>
      </c>
      <c r="F13" s="202">
        <f t="shared" si="1"/>
        <v>2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IF($K$7=0,"",IF($X$1="nein","",IF($K$8="","",IF(W13="",Uebersicht!BI12,W13))))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10</v>
      </c>
      <c r="C14" s="98">
        <f t="shared" si="6"/>
        <v>2017</v>
      </c>
      <c r="D14" s="200" t="str">
        <f t="shared" si="7"/>
        <v>Mittwoch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IF($K$7=0,"",IF($X$1="nein","",IF($K$8="","",IF(W14="",Uebersicht!BJ12,W14))))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10</v>
      </c>
      <c r="C15" s="98">
        <f t="shared" si="6"/>
        <v>2017</v>
      </c>
      <c r="D15" s="200" t="str">
        <f t="shared" si="7"/>
        <v>Donnerstag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IF($K$7=0,"",IF($X$1="nein","",IF($K$8="","",IF(W15="",Uebersicht!BK12,W15))))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10</v>
      </c>
      <c r="C16" s="98">
        <f t="shared" si="6"/>
        <v>2017</v>
      </c>
      <c r="D16" s="200" t="str">
        <f t="shared" si="7"/>
        <v>Freitag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IF($K$7=0,"",IF($X$1="nein","",IF($K$8="","",IF(W16="",Uebersicht!BL12,W16))))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10</v>
      </c>
      <c r="C17" s="98">
        <f t="shared" si="6"/>
        <v>2017</v>
      </c>
      <c r="D17" s="200" t="str">
        <f t="shared" si="7"/>
        <v>Samstag</v>
      </c>
      <c r="E17" s="201" t="str">
        <f>IF(ISNA(INDEX(X!$W$7:$W$20,MATCH(DATE($G$7,$E$7,A17),X!$AC$7:$AC$20,0))),"X",1)</f>
        <v>X</v>
      </c>
      <c r="F17" s="202">
        <f t="shared" si="1"/>
        <v>2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10</v>
      </c>
      <c r="C18" s="98">
        <f t="shared" si="6"/>
        <v>2017</v>
      </c>
      <c r="D18" s="200" t="str">
        <f t="shared" si="7"/>
        <v>Sonntag</v>
      </c>
      <c r="E18" s="201" t="str">
        <f>IF(ISNA(INDEX(X!$W$7:$W$20,MATCH(DATE($G$7,$E$7,A18),X!$AC$7:$AC$20,0))),"X",1)</f>
        <v>X</v>
      </c>
      <c r="F18" s="202">
        <f t="shared" si="1"/>
        <v>2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10</v>
      </c>
      <c r="C19" s="98">
        <f t="shared" si="6"/>
        <v>2017</v>
      </c>
      <c r="D19" s="200" t="str">
        <f t="shared" si="7"/>
        <v>Montag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10</v>
      </c>
      <c r="C20" s="98">
        <f t="shared" si="6"/>
        <v>2017</v>
      </c>
      <c r="D20" s="200" t="str">
        <f t="shared" si="7"/>
        <v>Dienstag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10</v>
      </c>
      <c r="C21" s="98">
        <f t="shared" si="6"/>
        <v>2017</v>
      </c>
      <c r="D21" s="200" t="str">
        <f t="shared" si="7"/>
        <v>Mittwoch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10</v>
      </c>
      <c r="C22" s="98">
        <f t="shared" si="6"/>
        <v>2017</v>
      </c>
      <c r="D22" s="200" t="str">
        <f t="shared" si="7"/>
        <v>Donnerstag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10</v>
      </c>
      <c r="C23" s="98">
        <f t="shared" si="6"/>
        <v>2017</v>
      </c>
      <c r="D23" s="200" t="str">
        <f t="shared" si="7"/>
        <v>Freitag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10</v>
      </c>
      <c r="C24" s="98">
        <f t="shared" si="6"/>
        <v>2017</v>
      </c>
      <c r="D24" s="200" t="str">
        <f t="shared" si="7"/>
        <v>Samstag</v>
      </c>
      <c r="E24" s="201" t="str">
        <f>IF(ISNA(INDEX(X!$W$7:$W$20,MATCH(DATE($G$7,$E$7,A24),X!$AC$7:$AC$20,0))),"X",1)</f>
        <v>X</v>
      </c>
      <c r="F24" s="202">
        <f t="shared" si="1"/>
        <v>2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10</v>
      </c>
      <c r="C25" s="98">
        <f t="shared" si="6"/>
        <v>2017</v>
      </c>
      <c r="D25" s="200" t="str">
        <f t="shared" si="7"/>
        <v>Sonntag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2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10</v>
      </c>
      <c r="C26" s="98">
        <f t="shared" si="6"/>
        <v>2017</v>
      </c>
      <c r="D26" s="200" t="str">
        <f t="shared" si="7"/>
        <v>Montag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10</v>
      </c>
      <c r="C27" s="98">
        <f t="shared" si="6"/>
        <v>2017</v>
      </c>
      <c r="D27" s="200" t="str">
        <f t="shared" si="7"/>
        <v>Dienstag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10</v>
      </c>
      <c r="C28" s="98">
        <f t="shared" si="6"/>
        <v>2017</v>
      </c>
      <c r="D28" s="200" t="str">
        <f t="shared" si="7"/>
        <v>Mittwoch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10</v>
      </c>
      <c r="C29" s="98">
        <f t="shared" si="6"/>
        <v>2017</v>
      </c>
      <c r="D29" s="200" t="str">
        <f t="shared" si="7"/>
        <v>Donnerstag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10</v>
      </c>
      <c r="C30" s="98">
        <f t="shared" si="6"/>
        <v>2017</v>
      </c>
      <c r="D30" s="200" t="str">
        <f t="shared" si="7"/>
        <v>Freitag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10</v>
      </c>
      <c r="C31" s="98">
        <f t="shared" si="6"/>
        <v>2017</v>
      </c>
      <c r="D31" s="200" t="str">
        <f t="shared" si="7"/>
        <v>Samstag</v>
      </c>
      <c r="E31" s="201" t="str">
        <f>IF(ISNA(INDEX(X!$W$7:$W$20,MATCH(DATE($G$7,$E$7,A31),X!$AC$7:$AC$20,0))),"X",1)</f>
        <v>X</v>
      </c>
      <c r="F31" s="202">
        <f t="shared" si="17"/>
        <v>2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10</v>
      </c>
      <c r="C32" s="98">
        <f t="shared" si="6"/>
        <v>2017</v>
      </c>
      <c r="D32" s="200" t="str">
        <f t="shared" si="7"/>
        <v>Sonntag</v>
      </c>
      <c r="E32" s="201" t="str">
        <f>IF(ISNA(INDEX(X!$W$7:$W$20,MATCH(DATE($G$7,$E$7,A32),X!$AC$7:$AC$20,0))),"X",1)</f>
        <v>X</v>
      </c>
      <c r="F32" s="202">
        <f t="shared" si="17"/>
        <v>2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10</v>
      </c>
      <c r="C33" s="98">
        <f t="shared" si="6"/>
        <v>2017</v>
      </c>
      <c r="D33" s="200" t="str">
        <f t="shared" si="7"/>
        <v>Montag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10</v>
      </c>
      <c r="C34" s="98">
        <f t="shared" si="6"/>
        <v>2017</v>
      </c>
      <c r="D34" s="200" t="str">
        <f t="shared" si="7"/>
        <v>Dienstag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10</v>
      </c>
      <c r="C35" s="98">
        <f t="shared" si="6"/>
        <v>2017</v>
      </c>
      <c r="D35" s="200" t="str">
        <f t="shared" si="7"/>
        <v>Mittwoch</v>
      </c>
      <c r="E35" s="201" t="str">
        <f>IF(ISNA(INDEX(X!$W$7:$W$20,MATCH(DATE($G$7,$E$7,A35),X!$AC$7:$AC$20,0))),"X",1)</f>
        <v>X</v>
      </c>
      <c r="F35" s="202">
        <f t="shared" si="17"/>
        <v>1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10</v>
      </c>
      <c r="C36" s="98">
        <f t="shared" si="6"/>
        <v>2017</v>
      </c>
      <c r="D36" s="200" t="str">
        <f t="shared" si="7"/>
        <v>Donnerstag</v>
      </c>
      <c r="E36" s="201" t="str">
        <f>IF(ISNA(INDEX(X!$W$7:$W$20,MATCH(DATE($G$7,$E$7,A36),X!$AC$7:$AC$20,0))),"X",1)</f>
        <v>X</v>
      </c>
      <c r="F36" s="202">
        <f t="shared" si="17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10</v>
      </c>
      <c r="C37" s="98">
        <f t="shared" si="6"/>
        <v>2017</v>
      </c>
      <c r="D37" s="200" t="str">
        <f t="shared" si="7"/>
        <v>Freitag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10</v>
      </c>
      <c r="C38" s="98">
        <f t="shared" si="6"/>
        <v>2017</v>
      </c>
      <c r="D38" s="200" t="str">
        <f t="shared" si="7"/>
        <v>Samstag</v>
      </c>
      <c r="E38" s="201" t="str">
        <f>IF(ISNA(INDEX(X!$W$7:$W$20,MATCH(DATE($G$7,$E$7,A38),X!$AC$7:$AC$20,0))),"X",1)</f>
        <v>X</v>
      </c>
      <c r="F38" s="202">
        <f t="shared" si="17"/>
        <v>2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10</v>
      </c>
      <c r="C39" s="98">
        <f t="shared" si="6"/>
        <v>2017</v>
      </c>
      <c r="D39" s="200" t="str">
        <f t="shared" si="7"/>
        <v>Sonntag</v>
      </c>
      <c r="E39" s="201" t="str">
        <f>IF(ISNA(INDEX(X!$W$7:$W$20,MATCH(DATE($G$7,$E$7,A39),X!$AC$7:$AC$20,0))),"X",1)</f>
        <v>X</v>
      </c>
      <c r="F39" s="202">
        <f t="shared" si="17"/>
        <v>2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43037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10</v>
      </c>
      <c r="C40" s="98">
        <f t="shared" si="6"/>
        <v>2017</v>
      </c>
      <c r="D40" s="200" t="str">
        <f t="shared" si="7"/>
        <v>Montag</v>
      </c>
      <c r="E40" s="201" t="str">
        <f>IF(ISNA(INDEX(X!$W$7:$W$20,MATCH(DATE($G$7,$E$7,A40),X!$AC$7:$AC$20,0))),"X",1)</f>
        <v>X</v>
      </c>
      <c r="F40" s="202">
        <f t="shared" si="17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>
        <f>IF(OR(B41=1,B41=3,B41=5,B41=7,B41=8,B41=10,B41=12),31,"")</f>
        <v>31</v>
      </c>
      <c r="B41" s="204">
        <f t="shared" si="5"/>
        <v>10</v>
      </c>
      <c r="C41" s="204">
        <f t="shared" si="6"/>
        <v>2017</v>
      </c>
      <c r="D41" s="205" t="str">
        <f>IF(A41="","",TEXT(DATE($G$7,$E$7,A41),"TTTT"))</f>
        <v>Dienstag</v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E41 G11:K41">
    <cfRule type="expression" dxfId="76" priority="51">
      <formula>$F11=2</formula>
    </cfRule>
    <cfRule type="expression" dxfId="75" priority="53">
      <formula>$F11=1</formula>
    </cfRule>
  </conditionalFormatting>
  <conditionalFormatting sqref="L11:L41">
    <cfRule type="expression" dxfId="74" priority="28">
      <formula>$F11=2</formula>
    </cfRule>
    <cfRule type="expression" dxfId="73" priority="30">
      <formula>$F11=1</formula>
    </cfRule>
  </conditionalFormatting>
  <conditionalFormatting sqref="W8">
    <cfRule type="containsText" dxfId="72" priority="26" operator="containsText" text="zu wenig!">
      <formula>NOT(ISERROR(SEARCH("zu wenig!",W8)))</formula>
    </cfRule>
    <cfRule type="containsText" dxfId="71" priority="27" operator="containsText" text="zu viel!">
      <formula>NOT(ISERROR(SEARCH("zu viel!",W8)))</formula>
    </cfRule>
  </conditionalFormatting>
  <conditionalFormatting sqref="W17">
    <cfRule type="containsText" dxfId="70" priority="24" operator="containsText" text="zu wenig!">
      <formula>NOT(ISERROR(SEARCH("zu wenig!",W17)))</formula>
    </cfRule>
    <cfRule type="containsText" dxfId="69" priority="25" operator="containsText" text="zu viel!">
      <formula>NOT(ISERROR(SEARCH("zu viel!",W17)))</formula>
    </cfRule>
  </conditionalFormatting>
  <conditionalFormatting sqref="V10:W17">
    <cfRule type="expression" dxfId="68" priority="23">
      <formula>$K$8=""</formula>
    </cfRule>
  </conditionalFormatting>
  <conditionalFormatting sqref="X10:X17">
    <cfRule type="expression" dxfId="67" priority="19">
      <formula>$K$8=""</formula>
    </cfRule>
  </conditionalFormatting>
  <conditionalFormatting sqref="S10:T48">
    <cfRule type="expression" dxfId="64" priority="6">
      <formula>$A$9=""</formula>
    </cfRule>
  </conditionalFormatting>
  <conditionalFormatting sqref="S11:T41">
    <cfRule type="expression" dxfId="63" priority="4">
      <formula>$F11=1</formula>
    </cfRule>
    <cfRule type="expression" dxfId="62" priority="5">
      <formula>$F11=2</formula>
    </cfRule>
  </conditionalFormatting>
  <conditionalFormatting sqref="S6:T49">
    <cfRule type="expression" dxfId="61" priority="3">
      <formula>$M$8=""</formula>
    </cfRule>
  </conditionalFormatting>
  <conditionalFormatting sqref="F11:F41">
    <cfRule type="expression" dxfId="7" priority="1">
      <formula>$F11=2</formula>
    </cfRule>
    <cfRule type="expression" dxfId="6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3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IF(Uebersicht!AX13&gt;0,0,"")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IF(Uebersicht!AY13&gt;0,32,"")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IF($K$7=0,"",IF(Jan!$X$1="nein","",IF($X$1="nein","",IF(W3&gt;0,W3,Uebersicht!BC13))))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IF(AND(YEAR(TODAY())=G7,MONTH(TODAY())&gt;=E7,K7&gt;0),Okt!I48,0)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IF($K$7=0,"",IF(Jan!$X$1="nein","",IF($X$1="nein","",IF(W4&gt;0,W4,Uebersicht!BD13))))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IF($K$7=0,"",IF(Jan!$X$1="nein","",IF($X$1="nein","",IF(W5&gt;0,W5,Uebersicht!BE13))))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IF($K$7=0,"",IF(Jan!$X$1="nein","",IF($X$1="nein","",IF(W6&gt;0,W6,Uebersicht!BF13))))</f>
        <v/>
      </c>
      <c r="Y6" s="188">
        <f t="shared" si="0"/>
        <v>1</v>
      </c>
    </row>
    <row r="7" spans="1:25" x14ac:dyDescent="0.2">
      <c r="A7" s="286" t="s">
        <v>24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11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Uebersicht!AP25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IF($K$7=0,"",IF(Jan!$X$1="nein","",IF($X$1="nein","",IF(W7&gt;0,W7,Uebersicht!BG13))))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IF(Uebersicht!AP26=K7,"",Uebersicht!AP26)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Okt!Q42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11</v>
      </c>
      <c r="C11" s="194">
        <f>$G$7</f>
        <v>2017</v>
      </c>
      <c r="D11" s="195" t="str">
        <f>TEXT(DATE($G$7,$E$7,A11),"TTTT")</f>
        <v>Mittwoch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11</v>
      </c>
      <c r="C12" s="98">
        <f t="shared" ref="C12:C41" si="6">$G$7</f>
        <v>2017</v>
      </c>
      <c r="D12" s="200" t="str">
        <f t="shared" ref="D12:D40" si="7">TEXT(DATE($G$7,$E$7,A12),"TTTT")</f>
        <v>Donnerstag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IF($K$7=0,"",IF($X$1="nein","",IF($K$8="","",IF(W12="",Uebersicht!BH13,W12))))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11</v>
      </c>
      <c r="C13" s="98">
        <f t="shared" si="6"/>
        <v>2017</v>
      </c>
      <c r="D13" s="200" t="str">
        <f t="shared" si="7"/>
        <v>Freitag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IF($K$7=0,"",IF($X$1="nein","",IF($K$8="","",IF(W13="",Uebersicht!BI13,W13))))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11</v>
      </c>
      <c r="C14" s="98">
        <f t="shared" si="6"/>
        <v>2017</v>
      </c>
      <c r="D14" s="200" t="str">
        <f t="shared" si="7"/>
        <v>Samstag</v>
      </c>
      <c r="E14" s="201" t="str">
        <f>IF(ISNA(INDEX(X!$W$7:$W$20,MATCH(DATE($G$7,$E$7,A14),X!$AC$7:$AC$20,0))),"X",1)</f>
        <v>X</v>
      </c>
      <c r="F14" s="202">
        <f t="shared" si="1"/>
        <v>2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IF($K$7=0,"",IF($X$1="nein","",IF($K$8="","",IF(W14="",Uebersicht!BJ13,W14))))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11</v>
      </c>
      <c r="C15" s="98">
        <f t="shared" si="6"/>
        <v>2017</v>
      </c>
      <c r="D15" s="200" t="str">
        <f t="shared" si="7"/>
        <v>Sonntag</v>
      </c>
      <c r="E15" s="201" t="str">
        <f>IF(ISNA(INDEX(X!$W$7:$W$20,MATCH(DATE($G$7,$E$7,A15),X!$AC$7:$AC$20,0))),"X",1)</f>
        <v>X</v>
      </c>
      <c r="F15" s="202">
        <f t="shared" si="1"/>
        <v>2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IF($K$7=0,"",IF($X$1="nein","",IF($K$8="","",IF(W15="",Uebersicht!BK13,W15))))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11</v>
      </c>
      <c r="C16" s="98">
        <f t="shared" si="6"/>
        <v>2017</v>
      </c>
      <c r="D16" s="200" t="str">
        <f t="shared" si="7"/>
        <v>Montag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IF($K$7=0,"",IF($X$1="nein","",IF($K$8="","",IF(W16="",Uebersicht!BL13,W16))))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11</v>
      </c>
      <c r="C17" s="98">
        <f t="shared" si="6"/>
        <v>2017</v>
      </c>
      <c r="D17" s="200" t="str">
        <f t="shared" si="7"/>
        <v>Dienstag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IF(OR(SUM(X12:X16)=0,SUM(W12:W16)=0),"",IF(IF(SUM(W12:W16)&gt;0,SUM(W12:W16),(SUM(X12:X16)))&gt;K8,"zu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11</v>
      </c>
      <c r="C18" s="98">
        <f t="shared" si="6"/>
        <v>2017</v>
      </c>
      <c r="D18" s="200" t="str">
        <f t="shared" si="7"/>
        <v>Mittwoch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11</v>
      </c>
      <c r="C19" s="98">
        <f t="shared" si="6"/>
        <v>2017</v>
      </c>
      <c r="D19" s="200" t="str">
        <f t="shared" si="7"/>
        <v>Donnerstag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11</v>
      </c>
      <c r="C20" s="98">
        <f t="shared" si="6"/>
        <v>2017</v>
      </c>
      <c r="D20" s="200" t="str">
        <f t="shared" si="7"/>
        <v>Freitag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11</v>
      </c>
      <c r="C21" s="98">
        <f t="shared" si="6"/>
        <v>2017</v>
      </c>
      <c r="D21" s="200" t="str">
        <f t="shared" si="7"/>
        <v>Samstag</v>
      </c>
      <c r="E21" s="201" t="str">
        <f>IF(ISNA(INDEX(X!$W$7:$W$20,MATCH(DATE($G$7,$E$7,A21),X!$AC$7:$AC$20,0))),"X",1)</f>
        <v>X</v>
      </c>
      <c r="F21" s="202">
        <f t="shared" si="1"/>
        <v>2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11</v>
      </c>
      <c r="C22" s="98">
        <f t="shared" si="6"/>
        <v>2017</v>
      </c>
      <c r="D22" s="200" t="str">
        <f t="shared" si="7"/>
        <v>Sonntag</v>
      </c>
      <c r="E22" s="201" t="str">
        <f>IF(ISNA(INDEX(X!$W$7:$W$20,MATCH(DATE($G$7,$E$7,A22),X!$AC$7:$AC$20,0))),"X",1)</f>
        <v>X</v>
      </c>
      <c r="F22" s="202">
        <f t="shared" si="1"/>
        <v>2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11</v>
      </c>
      <c r="C23" s="98">
        <f t="shared" si="6"/>
        <v>2017</v>
      </c>
      <c r="D23" s="200" t="str">
        <f t="shared" si="7"/>
        <v>Montag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11</v>
      </c>
      <c r="C24" s="98">
        <f t="shared" si="6"/>
        <v>2017</v>
      </c>
      <c r="D24" s="200" t="str">
        <f t="shared" si="7"/>
        <v>Dienstag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11</v>
      </c>
      <c r="C25" s="98">
        <f t="shared" si="6"/>
        <v>2017</v>
      </c>
      <c r="D25" s="200" t="str">
        <f t="shared" si="7"/>
        <v>Mittwoch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11</v>
      </c>
      <c r="C26" s="98">
        <f t="shared" si="6"/>
        <v>2017</v>
      </c>
      <c r="D26" s="200" t="str">
        <f t="shared" si="7"/>
        <v>Donnerstag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11</v>
      </c>
      <c r="C27" s="98">
        <f t="shared" si="6"/>
        <v>2017</v>
      </c>
      <c r="D27" s="200" t="str">
        <f t="shared" si="7"/>
        <v>Freitag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11</v>
      </c>
      <c r="C28" s="98">
        <f t="shared" si="6"/>
        <v>2017</v>
      </c>
      <c r="D28" s="200" t="str">
        <f t="shared" si="7"/>
        <v>Samstag</v>
      </c>
      <c r="E28" s="201" t="str">
        <f>IF(ISNA(INDEX(X!$W$7:$W$20,MATCH(DATE($G$7,$E$7,A28),X!$AC$7:$AC$20,0))),"X",1)</f>
        <v>X</v>
      </c>
      <c r="F28" s="202">
        <f t="shared" si="17"/>
        <v>2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11</v>
      </c>
      <c r="C29" s="98">
        <f t="shared" si="6"/>
        <v>2017</v>
      </c>
      <c r="D29" s="200" t="str">
        <f t="shared" si="7"/>
        <v>Sonntag</v>
      </c>
      <c r="E29" s="201" t="str">
        <f>IF(ISNA(INDEX(X!$W$7:$W$20,MATCH(DATE($G$7,$E$7,A29),X!$AC$7:$AC$20,0))),"X",1)</f>
        <v>X</v>
      </c>
      <c r="F29" s="202">
        <f t="shared" si="17"/>
        <v>2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11</v>
      </c>
      <c r="C30" s="98">
        <f t="shared" si="6"/>
        <v>2017</v>
      </c>
      <c r="D30" s="200" t="str">
        <f t="shared" si="7"/>
        <v>Montag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11</v>
      </c>
      <c r="C31" s="98">
        <f t="shared" si="6"/>
        <v>2017</v>
      </c>
      <c r="D31" s="200" t="str">
        <f t="shared" si="7"/>
        <v>Dienstag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11</v>
      </c>
      <c r="C32" s="98">
        <f t="shared" si="6"/>
        <v>2017</v>
      </c>
      <c r="D32" s="200" t="str">
        <f t="shared" si="7"/>
        <v>Mittwoch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11</v>
      </c>
      <c r="C33" s="98">
        <f t="shared" si="6"/>
        <v>2017</v>
      </c>
      <c r="D33" s="200" t="str">
        <f t="shared" si="7"/>
        <v>Donnerstag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11</v>
      </c>
      <c r="C34" s="98">
        <f t="shared" si="6"/>
        <v>2017</v>
      </c>
      <c r="D34" s="200" t="str">
        <f t="shared" si="7"/>
        <v>Freitag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11</v>
      </c>
      <c r="C35" s="98">
        <f t="shared" si="6"/>
        <v>2017</v>
      </c>
      <c r="D35" s="200" t="str">
        <f t="shared" si="7"/>
        <v>Samstag</v>
      </c>
      <c r="E35" s="201" t="str">
        <f>IF(ISNA(INDEX(X!$W$7:$W$20,MATCH(DATE($G$7,$E$7,A35),X!$AC$7:$AC$20,0))),"X",1)</f>
        <v>X</v>
      </c>
      <c r="F35" s="202">
        <f t="shared" si="17"/>
        <v>2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11</v>
      </c>
      <c r="C36" s="98">
        <f t="shared" si="6"/>
        <v>2017</v>
      </c>
      <c r="D36" s="200" t="str">
        <f t="shared" si="7"/>
        <v>Sonntag</v>
      </c>
      <c r="E36" s="201" t="str">
        <f>IF(ISNA(INDEX(X!$W$7:$W$20,MATCH(DATE($G$7,$E$7,A36),X!$AC$7:$AC$20,0))),"X",1)</f>
        <v>X</v>
      </c>
      <c r="F36" s="202">
        <f t="shared" si="17"/>
        <v>2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11</v>
      </c>
      <c r="C37" s="98">
        <f t="shared" si="6"/>
        <v>2017</v>
      </c>
      <c r="D37" s="200" t="str">
        <f t="shared" si="7"/>
        <v>Montag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11</v>
      </c>
      <c r="C38" s="98">
        <f t="shared" si="6"/>
        <v>2017</v>
      </c>
      <c r="D38" s="200" t="str">
        <f t="shared" si="7"/>
        <v>Dienstag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11</v>
      </c>
      <c r="C39" s="98">
        <f t="shared" si="6"/>
        <v>2017</v>
      </c>
      <c r="D39" s="200" t="str">
        <f t="shared" si="7"/>
        <v>Mittwoch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43068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11</v>
      </c>
      <c r="C40" s="98">
        <f t="shared" si="6"/>
        <v>2017</v>
      </c>
      <c r="D40" s="200" t="str">
        <f t="shared" si="7"/>
        <v>Donnerstag</v>
      </c>
      <c r="E40" s="201" t="str">
        <f>IF(ISNA(INDEX(X!$W$7:$W$20,MATCH(DATE($G$7,$E$7,A40),X!$AC$7:$AC$20,0))),"X",1)</f>
        <v>X</v>
      </c>
      <c r="F40" s="202">
        <f t="shared" si="17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 t="str">
        <f>IF(OR(B41=1,B41=3,B41=5,B41=7,B41=8,B41=10,B41=12),31,"")</f>
        <v/>
      </c>
      <c r="B41" s="204">
        <f t="shared" si="5"/>
        <v>11</v>
      </c>
      <c r="C41" s="204">
        <f t="shared" si="6"/>
        <v>2017</v>
      </c>
      <c r="D41" s="205" t="str">
        <f>IF(A41="","",TEXT(DATE($G$7,$E$7,A41),"TTTT"))</f>
        <v/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E41 G11:K41">
    <cfRule type="expression" dxfId="60" priority="49">
      <formula>$F11=2</formula>
    </cfRule>
    <cfRule type="expression" dxfId="59" priority="51">
      <formula>$F11=1</formula>
    </cfRule>
  </conditionalFormatting>
  <conditionalFormatting sqref="L11:L41">
    <cfRule type="expression" dxfId="58" priority="26">
      <formula>$F11=2</formula>
    </cfRule>
    <cfRule type="expression" dxfId="57" priority="28">
      <formula>$F11=1</formula>
    </cfRule>
  </conditionalFormatting>
  <conditionalFormatting sqref="W8">
    <cfRule type="containsText" dxfId="56" priority="32" operator="containsText" text="zu wenig!">
      <formula>NOT(ISERROR(SEARCH("zu wenig!",W8)))</formula>
    </cfRule>
    <cfRule type="containsText" dxfId="55" priority="33" operator="containsText" text="zu viel!">
      <formula>NOT(ISERROR(SEARCH("zu viel!",W8)))</formula>
    </cfRule>
  </conditionalFormatting>
  <conditionalFormatting sqref="W17">
    <cfRule type="containsText" dxfId="54" priority="30" operator="containsText" text="zu wenig!">
      <formula>NOT(ISERROR(SEARCH("zu wenig!",W17)))</formula>
    </cfRule>
    <cfRule type="containsText" dxfId="53" priority="31" operator="containsText" text="zu viel!">
      <formula>NOT(ISERROR(SEARCH("zu viel!",W17)))</formula>
    </cfRule>
  </conditionalFormatting>
  <conditionalFormatting sqref="V10:W17">
    <cfRule type="expression" dxfId="52" priority="29">
      <formula>$K$8=""</formula>
    </cfRule>
  </conditionalFormatting>
  <conditionalFormatting sqref="X10:X17">
    <cfRule type="expression" dxfId="51" priority="22">
      <formula>$K$8=""</formula>
    </cfRule>
  </conditionalFormatting>
  <conditionalFormatting sqref="S10:T48">
    <cfRule type="expression" dxfId="48" priority="6">
      <formula>$A$9=""</formula>
    </cfRule>
  </conditionalFormatting>
  <conditionalFormatting sqref="S11:T41">
    <cfRule type="expression" dxfId="47" priority="4">
      <formula>$F11=1</formula>
    </cfRule>
    <cfRule type="expression" dxfId="46" priority="5">
      <formula>$F11=2</formula>
    </cfRule>
  </conditionalFormatting>
  <conditionalFormatting sqref="S6:T49">
    <cfRule type="expression" dxfId="45" priority="3">
      <formula>$M$8=""</formula>
    </cfRule>
  </conditionalFormatting>
  <conditionalFormatting sqref="F11:F41">
    <cfRule type="expression" dxfId="5" priority="1">
      <formula>$F11=2</formula>
    </cfRule>
    <cfRule type="expression" dxfId="4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Y58"/>
  <sheetViews>
    <sheetView zoomScaleNormal="100" workbookViewId="0">
      <selection activeCell="D47" sqref="D47"/>
    </sheetView>
  </sheetViews>
  <sheetFormatPr baseColWidth="10" defaultRowHeight="12.75" x14ac:dyDescent="0.2"/>
  <cols>
    <col min="1" max="1" width="5.42578125" style="1" customWidth="1"/>
    <col min="2" max="2" width="3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425781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IF(Uebersicht!AX14&gt;0,0,"")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IF(Uebersicht!AY14&gt;0,32,"")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>
        <f>IF($K$7=0,0,IF(Jan!$X$1="nein",0,IF($X$1="nein",0,IF(W3&gt;0,W3,Uebersicht!BC14))))</f>
        <v>0</v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IF(AND(YEAR(TODAY())=G7,MONTH(TODAY())&gt;=E7,K7&gt;0),Nov!I48,0)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>
        <f>IF($K$7=0,0,IF(Jan!$X$1="nein",0,IF($X$1="nein",0,IF(W4&gt;0,W4,Uebersicht!BD14))))</f>
        <v>0</v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>
        <f>IF($K$7=0,0,IF(Jan!$X$1="nein",0,IF($X$1="nein",0,IF(W5&gt;0,W5,Uebersicht!BE14))))</f>
        <v>0</v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>
        <f>IF($K$7=0,0,IF(Jan!$X$1="nein",0,IF($X$1="nein",0,IF(W6&gt;0,W6,Uebersicht!BF14))))</f>
        <v>0</v>
      </c>
      <c r="Y6" s="188">
        <f t="shared" si="0"/>
        <v>1</v>
      </c>
    </row>
    <row r="7" spans="1:25" x14ac:dyDescent="0.2">
      <c r="A7" s="286" t="s">
        <v>25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12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Uebersicht!AP27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>
        <f>IF($K$7=0,0,IF(Jan!$X$1="nein",0,IF($X$1="nein",0,IF(W7&gt;0,W7,Uebersicht!BG14))))</f>
        <v>0</v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IF(Uebersicht!AP28=K7,"",Uebersicht!AP28)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Nov!Q42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12</v>
      </c>
      <c r="C11" s="194">
        <f>$G$7</f>
        <v>2017</v>
      </c>
      <c r="D11" s="195" t="str">
        <f>TEXT(DATE($G$7,$E$7,A11),"TTTT")</f>
        <v>Freitag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2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3">IF(S11="","",(L11-(S11*60))/60)</f>
        <v/>
      </c>
      <c r="U11" s="40"/>
      <c r="V11" s="40" t="s">
        <v>10</v>
      </c>
      <c r="W11" s="40" t="s">
        <v>51</v>
      </c>
      <c r="X11" s="40"/>
      <c r="Y11" s="188"/>
    </row>
    <row r="12" spans="1:25" x14ac:dyDescent="0.2">
      <c r="A12" s="199">
        <v>2</v>
      </c>
      <c r="B12" s="98">
        <f t="shared" ref="B12:B41" si="4">$E$7</f>
        <v>12</v>
      </c>
      <c r="C12" s="98">
        <f t="shared" ref="C12:C41" si="5">$G$7</f>
        <v>2017</v>
      </c>
      <c r="D12" s="200" t="str">
        <f t="shared" ref="D12:D40" si="6">TEXT(DATE($G$7,$E$7,A12),"TTTT")</f>
        <v>Samstag</v>
      </c>
      <c r="E12" s="201" t="str">
        <f>IF(ISNA(INDEX(X!$W$7:$W$20,MATCH(DATE($G$7,$E$7,A12),X!$AC$7:$AC$20,0))),"X",1)</f>
        <v>X</v>
      </c>
      <c r="F12" s="202">
        <f t="shared" si="1"/>
        <v>2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7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8">IF(P12&lt;0,P12+IF(L12="",0,L12),L12)</f>
        <v/>
      </c>
      <c r="N12" s="131">
        <f>((HOUR(H12)*60+MINUTE(H12))/24)-((HOUR(G12)*60+MINUTE(G12))/24)</f>
        <v>0</v>
      </c>
      <c r="O12" s="132" t="str">
        <f t="shared" ref="O12:O15" si="9">IF(N12=0,IF(M12="","",IF((M12/60)&lt;0,TEXT(-((M12/60)/24),"-[h]:mm"),IF((M12/60)&gt;24,TEXT((((M12/60)-24)/24)+(24/24),"[hh]:mm"),M11/60))),IF(N12&gt;15,(N12-(30/24))/60,N12/60))</f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2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3"/>
        <v/>
      </c>
      <c r="U12" s="40"/>
      <c r="V12" s="40" t="s">
        <v>71</v>
      </c>
      <c r="W12" s="85"/>
      <c r="X12" s="81" t="str">
        <f>IF($K$7=0,"",IF($X$1="nein","",IF($K$8="","",IF(W12="",Uebersicht!BH14,W12))))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4"/>
        <v>12</v>
      </c>
      <c r="C13" s="98">
        <f t="shared" si="5"/>
        <v>2017</v>
      </c>
      <c r="D13" s="200" t="str">
        <f t="shared" si="6"/>
        <v>Sonntag</v>
      </c>
      <c r="E13" s="201" t="str">
        <f>IF(ISNA(INDEX(X!$W$7:$W$20,MATCH(DATE($G$7,$E$7,A13),X!$AC$7:$AC$20,0))),"X",1)</f>
        <v>X</v>
      </c>
      <c r="F13" s="202">
        <f t="shared" si="1"/>
        <v>2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7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8"/>
        <v/>
      </c>
      <c r="N13" s="131">
        <f t="shared" ref="N13:N14" si="13">((HOUR(H13)*60+MINUTE(H13))/24)-((HOUR(G13)*60+MINUTE(G13))/24)</f>
        <v>0</v>
      </c>
      <c r="O13" s="132" t="str">
        <f t="shared" si="9"/>
        <v/>
      </c>
      <c r="P13" s="133">
        <f t="shared" si="10"/>
        <v>0</v>
      </c>
      <c r="Q13" s="133">
        <f t="shared" si="2"/>
        <v>0</v>
      </c>
      <c r="R13" s="133">
        <f t="shared" si="11"/>
        <v>0</v>
      </c>
      <c r="S13" s="245"/>
      <c r="T13" s="236" t="str">
        <f t="shared" si="3"/>
        <v/>
      </c>
      <c r="U13" s="40"/>
      <c r="V13" s="40" t="s">
        <v>72</v>
      </c>
      <c r="W13" s="88"/>
      <c r="X13" s="81" t="str">
        <f>IF($K$7=0,"",IF($X$1="nein","",IF($K$8="","",IF(W13="",Uebersicht!BI14,W13))))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4"/>
        <v>12</v>
      </c>
      <c r="C14" s="98">
        <f t="shared" si="5"/>
        <v>2017</v>
      </c>
      <c r="D14" s="200" t="str">
        <f t="shared" si="6"/>
        <v>Montag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7"/>
        <v/>
      </c>
      <c r="K14" s="215"/>
      <c r="L14" s="192" t="str">
        <f t="shared" si="12"/>
        <v/>
      </c>
      <c r="M14" s="130" t="str">
        <f t="shared" si="8"/>
        <v/>
      </c>
      <c r="N14" s="131">
        <f t="shared" si="13"/>
        <v>0</v>
      </c>
      <c r="O14" s="132" t="str">
        <f t="shared" si="9"/>
        <v/>
      </c>
      <c r="P14" s="133">
        <f t="shared" si="10"/>
        <v>0</v>
      </c>
      <c r="Q14" s="133">
        <f t="shared" si="2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IF($K$7=0,"",IF($X$1="nein","",IF($K$8="","",IF(W14="",Uebersicht!BJ14,W14))))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4"/>
        <v>12</v>
      </c>
      <c r="C15" s="98">
        <f t="shared" si="5"/>
        <v>2017</v>
      </c>
      <c r="D15" s="200" t="str">
        <f t="shared" si="6"/>
        <v>Dienstag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7"/>
        <v/>
      </c>
      <c r="K15" s="215"/>
      <c r="L15" s="192" t="str">
        <f t="shared" si="12"/>
        <v/>
      </c>
      <c r="M15" s="130" t="str">
        <f t="shared" si="8"/>
        <v/>
      </c>
      <c r="N15" s="131">
        <f>((HOUR(H15)*60+MINUTE(H15))/24)-((HOUR(G15)*60+MINUTE(G15))/24)</f>
        <v>0</v>
      </c>
      <c r="O15" s="132" t="str">
        <f t="shared" si="9"/>
        <v/>
      </c>
      <c r="P15" s="133">
        <f t="shared" si="10"/>
        <v>0</v>
      </c>
      <c r="Q15" s="133">
        <f t="shared" si="2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IF($K$7=0,"",IF($X$1="nein","",IF($K$8="","",IF(W15="",Uebersicht!BK14,W15))))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4"/>
        <v>12</v>
      </c>
      <c r="C16" s="98">
        <f t="shared" si="5"/>
        <v>2017</v>
      </c>
      <c r="D16" s="200" t="str">
        <f t="shared" si="6"/>
        <v>Mittwoch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>IF(K16="Resturlaub",(I16/24)/60,IF(O16=0,"",O16))</f>
        <v/>
      </c>
      <c r="K16" s="215"/>
      <c r="L16" s="192" t="str">
        <f t="shared" si="12"/>
        <v/>
      </c>
      <c r="M16" s="130" t="str">
        <f t="shared" si="8"/>
        <v/>
      </c>
      <c r="N16" s="131">
        <f t="shared" ref="N16:N41" si="15">((HOUR(H16)*60+MINUTE(H16))/24)-((HOUR(G16)*60+MINUTE(G16))/24)</f>
        <v>0</v>
      </c>
      <c r="O16" s="132" t="str">
        <f>IF(N16=0,IF(M16="","",IF((M16/60)&lt;0,TEXT(-((M16/60)/24),"-[h]:mm"),IF((M16/60)&gt;24,TEXT((((M16/60)-24)/24)+(24/24),"[hh]:mm"),M15/60))),IF(N16&gt;15,(N16-(30/24))/60,N16/60))</f>
        <v/>
      </c>
      <c r="P16" s="133">
        <f t="shared" si="10"/>
        <v>0</v>
      </c>
      <c r="Q16" s="133">
        <f t="shared" si="2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IF($K$7=0,"",IF($X$1="nein","",IF($K$8="","",IF(W16="",Uebersicht!BL14,W16))))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4"/>
        <v>12</v>
      </c>
      <c r="C17" s="98">
        <f t="shared" si="5"/>
        <v>2017</v>
      </c>
      <c r="D17" s="200" t="str">
        <f t="shared" si="6"/>
        <v>Donnerstag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>IF(K17="Resturlaub",(I17/24)/60,IF(O17=0,"",O17))</f>
        <v/>
      </c>
      <c r="K17" s="215"/>
      <c r="L17" s="192" t="str">
        <f t="shared" si="12"/>
        <v/>
      </c>
      <c r="M17" s="130" t="str">
        <f t="shared" si="8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2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IF(K8="","",IF(OR(SUM(X12:X16),SUM(W12:W16))=0,"",IF(IF(SUM(W12:W16)&gt;0,SUM(W12:W16),(SUM(X12:X16)))&gt;K8,"zu viel!",IF(IF(SUM(W12:W16)&gt;0,SUM(W12:W16),SUM(X12:X16))&lt;K8,"zu wenig!",""))))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4"/>
        <v>12</v>
      </c>
      <c r="C18" s="98">
        <f t="shared" si="5"/>
        <v>2017</v>
      </c>
      <c r="D18" s="200" t="str">
        <f t="shared" si="6"/>
        <v>Freitag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>IF(K18="Resturlaub",(I18/24)/60,IF(O18=0,"",O18))</f>
        <v/>
      </c>
      <c r="K18" s="215"/>
      <c r="L18" s="192" t="str">
        <f t="shared" si="12"/>
        <v/>
      </c>
      <c r="M18" s="130" t="str">
        <f t="shared" si="8"/>
        <v/>
      </c>
      <c r="N18" s="131">
        <f t="shared" si="15"/>
        <v>0</v>
      </c>
      <c r="O18" s="132" t="str">
        <f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2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4"/>
        <v>12</v>
      </c>
      <c r="C19" s="98">
        <f t="shared" si="5"/>
        <v>2017</v>
      </c>
      <c r="D19" s="200" t="str">
        <f t="shared" si="6"/>
        <v>Samstag</v>
      </c>
      <c r="E19" s="201" t="str">
        <f>IF(ISNA(INDEX(X!$W$7:$W$20,MATCH(DATE($G$7,$E$7,A19),X!$AC$7:$AC$20,0))),"X",1)</f>
        <v>X</v>
      </c>
      <c r="F19" s="202">
        <f t="shared" si="1"/>
        <v>2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7"/>
        <v/>
      </c>
      <c r="K19" s="215"/>
      <c r="L19" s="192" t="str">
        <f t="shared" si="12"/>
        <v/>
      </c>
      <c r="M19" s="130" t="str">
        <f t="shared" si="8"/>
        <v/>
      </c>
      <c r="N19" s="131">
        <f t="shared" si="15"/>
        <v>0</v>
      </c>
      <c r="O19" s="132" t="str">
        <f t="shared" ref="O19:O41" si="16">IF(N19=0,IF(M19="","",IF((M19/60)&lt;0,TEXT(-((M19/60)/24),"-[h]:mm"),IF((M19/60)&gt;24,TEXT((((M19/60)-24)/24)+(24/24),"[hh]:mm"),M18/60))),IF(N19&gt;15,(N19-(30/24))/60,N19/60))</f>
        <v/>
      </c>
      <c r="P19" s="133">
        <f t="shared" si="10"/>
        <v>0</v>
      </c>
      <c r="Q19" s="133">
        <f t="shared" si="2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4"/>
        <v>12</v>
      </c>
      <c r="C20" s="98">
        <f t="shared" si="5"/>
        <v>2017</v>
      </c>
      <c r="D20" s="200" t="str">
        <f t="shared" si="6"/>
        <v>Sonntag</v>
      </c>
      <c r="E20" s="201" t="str">
        <f>IF(ISNA(INDEX(X!$W$7:$W$20,MATCH(DATE($G$7,$E$7,A20),X!$AC$7:$AC$20,0))),"X",1)</f>
        <v>X</v>
      </c>
      <c r="F20" s="202">
        <f t="shared" si="1"/>
        <v>2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7"/>
        <v/>
      </c>
      <c r="K20" s="215"/>
      <c r="L20" s="192" t="str">
        <f t="shared" si="12"/>
        <v/>
      </c>
      <c r="M20" s="130" t="str">
        <f t="shared" si="8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2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4"/>
        <v>12</v>
      </c>
      <c r="C21" s="98">
        <f t="shared" si="5"/>
        <v>2017</v>
      </c>
      <c r="D21" s="200" t="str">
        <f t="shared" si="6"/>
        <v>Montag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7"/>
        <v/>
      </c>
      <c r="K21" s="215"/>
      <c r="L21" s="192" t="str">
        <f t="shared" si="12"/>
        <v/>
      </c>
      <c r="M21" s="130" t="str">
        <f t="shared" si="8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2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4"/>
        <v>12</v>
      </c>
      <c r="C22" s="98">
        <f t="shared" si="5"/>
        <v>2017</v>
      </c>
      <c r="D22" s="200" t="str">
        <f t="shared" si="6"/>
        <v>Dienstag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7"/>
        <v/>
      </c>
      <c r="K22" s="215"/>
      <c r="L22" s="192" t="str">
        <f t="shared" si="12"/>
        <v/>
      </c>
      <c r="M22" s="130" t="str">
        <f t="shared" si="8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2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4"/>
        <v>12</v>
      </c>
      <c r="C23" s="98">
        <f t="shared" si="5"/>
        <v>2017</v>
      </c>
      <c r="D23" s="200" t="str">
        <f t="shared" si="6"/>
        <v>Mittwoch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>IF(K23="Resturlaub",(I23/24)/60,IF(O23=0,"",O23))</f>
        <v/>
      </c>
      <c r="K23" s="215"/>
      <c r="L23" s="192" t="str">
        <f t="shared" si="12"/>
        <v/>
      </c>
      <c r="M23" s="130" t="str">
        <f t="shared" si="8"/>
        <v/>
      </c>
      <c r="N23" s="131">
        <f t="shared" si="15"/>
        <v>0</v>
      </c>
      <c r="O23" s="132" t="str">
        <f>IF(N23=0,IF(M23="","",IF((M23/60)&lt;0,TEXT(-((M23/60)/24),"-[h]:mm"),IF((M23/60)&gt;24,TEXT((((M23/60)-24)/24)+(24/24),"[hh]:mm"),M22/60))),IF(N23&gt;15,(N23-(30/24))/60,N23/60))</f>
        <v/>
      </c>
      <c r="P23" s="133">
        <f t="shared" si="10"/>
        <v>0</v>
      </c>
      <c r="Q23" s="133">
        <f t="shared" si="2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4"/>
        <v>12</v>
      </c>
      <c r="C24" s="98">
        <f t="shared" si="5"/>
        <v>2017</v>
      </c>
      <c r="D24" s="200" t="str">
        <f t="shared" si="6"/>
        <v>Donnerstag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>IF(K24="Resturlaub",(I24/24)/60,IF(O24=0,"",O24))</f>
        <v/>
      </c>
      <c r="K24" s="215"/>
      <c r="L24" s="192" t="str">
        <f t="shared" si="12"/>
        <v/>
      </c>
      <c r="M24" s="157" t="str">
        <f t="shared" si="8"/>
        <v/>
      </c>
      <c r="N24" s="158">
        <f t="shared" si="15"/>
        <v>0</v>
      </c>
      <c r="O24" s="159" t="str">
        <f>IF(N24=0,IF(M24="","",IF((M24/60)&lt;0,TEXT(-((M24/60)/24),"-[h]:mm"),IF((M24/60)&gt;24,TEXT((((M24/60)-24)/24)+(24/24),"[hh]:mm"),M23/60))),IF(N24&gt;15,(N24-(30/24))/60,N24/60))</f>
        <v/>
      </c>
      <c r="P24" s="160">
        <f t="shared" si="10"/>
        <v>0</v>
      </c>
      <c r="Q24" s="160">
        <f t="shared" si="2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4"/>
        <v>12</v>
      </c>
      <c r="C25" s="98">
        <f t="shared" si="5"/>
        <v>2017</v>
      </c>
      <c r="D25" s="200" t="str">
        <f t="shared" si="6"/>
        <v>Freitag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>IF(K25="Resturlaub",(I25/24)/60,IF(O25=0,"",O25))</f>
        <v/>
      </c>
      <c r="K25" s="215"/>
      <c r="L25" s="192" t="str">
        <f t="shared" si="12"/>
        <v/>
      </c>
      <c r="M25" s="162" t="str">
        <f t="shared" si="8"/>
        <v/>
      </c>
      <c r="N25" s="163">
        <f t="shared" si="15"/>
        <v>0</v>
      </c>
      <c r="O25" s="164" t="str">
        <f>IF(N25=0,IF(M25="","",IF((M25/60)&lt;0,TEXT(-((M25/60)/24),"-[h]:mm"),IF((M25/60)&gt;24,TEXT((((M25/60)-24)/24)+(24/24),"[hh]:mm"),M24/60))),IF(N25&gt;15,(N25-(30/24))/60,N25/60))</f>
        <v/>
      </c>
      <c r="P25" s="165">
        <f t="shared" si="10"/>
        <v>0</v>
      </c>
      <c r="Q25" s="165">
        <f t="shared" si="2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4"/>
        <v>12</v>
      </c>
      <c r="C26" s="98">
        <f t="shared" si="5"/>
        <v>2017</v>
      </c>
      <c r="D26" s="200" t="str">
        <f t="shared" si="6"/>
        <v>Samstag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2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7"/>
        <v/>
      </c>
      <c r="K26" s="215"/>
      <c r="L26" s="192" t="str">
        <f t="shared" si="12"/>
        <v/>
      </c>
      <c r="M26" s="130" t="str">
        <f t="shared" si="8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2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4"/>
        <v>12</v>
      </c>
      <c r="C27" s="98">
        <f t="shared" si="5"/>
        <v>2017</v>
      </c>
      <c r="D27" s="200" t="str">
        <f t="shared" si="6"/>
        <v>Sonntag</v>
      </c>
      <c r="E27" s="201" t="str">
        <f>IF(ISNA(INDEX(X!$W$7:$W$20,MATCH(DATE($G$7,$E$7,A27),X!$AC$7:$AC$20,0))),"X",1)</f>
        <v>X</v>
      </c>
      <c r="F27" s="202">
        <f t="shared" si="17"/>
        <v>2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7"/>
        <v/>
      </c>
      <c r="K27" s="215"/>
      <c r="L27" s="192" t="str">
        <f t="shared" si="12"/>
        <v/>
      </c>
      <c r="M27" s="130" t="str">
        <f t="shared" si="8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2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4"/>
        <v>12</v>
      </c>
      <c r="C28" s="98">
        <f t="shared" si="5"/>
        <v>2017</v>
      </c>
      <c r="D28" s="200" t="str">
        <f t="shared" si="6"/>
        <v>Montag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7"/>
        <v/>
      </c>
      <c r="K28" s="215"/>
      <c r="L28" s="192" t="str">
        <f t="shared" si="12"/>
        <v/>
      </c>
      <c r="M28" s="130" t="str">
        <f t="shared" si="8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4"/>
        <v>12</v>
      </c>
      <c r="C29" s="98">
        <f t="shared" si="5"/>
        <v>2017</v>
      </c>
      <c r="D29" s="200" t="str">
        <f t="shared" si="6"/>
        <v>Dienstag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7"/>
        <v/>
      </c>
      <c r="K29" s="215"/>
      <c r="L29" s="192" t="str">
        <f t="shared" si="12"/>
        <v/>
      </c>
      <c r="M29" s="130" t="str">
        <f t="shared" si="8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4"/>
        <v>12</v>
      </c>
      <c r="C30" s="98">
        <f t="shared" si="5"/>
        <v>2017</v>
      </c>
      <c r="D30" s="200" t="str">
        <f t="shared" si="6"/>
        <v>Mittwoch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>IF(K30="Resturlaub",(I30/24)/60,IF(O30=0,"",O30))</f>
        <v/>
      </c>
      <c r="K30" s="215"/>
      <c r="L30" s="192" t="str">
        <f t="shared" si="12"/>
        <v/>
      </c>
      <c r="M30" s="130" t="str">
        <f t="shared" si="8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4"/>
        <v>12</v>
      </c>
      <c r="C31" s="98">
        <f t="shared" si="5"/>
        <v>2017</v>
      </c>
      <c r="D31" s="200" t="str">
        <f t="shared" si="6"/>
        <v>Donnerstag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>IF(K31="Resturlaub",(I31/24)/60,IF(O31=0,"",O31))</f>
        <v/>
      </c>
      <c r="K31" s="215"/>
      <c r="L31" s="192" t="str">
        <f t="shared" si="12"/>
        <v/>
      </c>
      <c r="M31" s="130" t="str">
        <f t="shared" si="8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4"/>
        <v>12</v>
      </c>
      <c r="C32" s="98">
        <f t="shared" si="5"/>
        <v>2017</v>
      </c>
      <c r="D32" s="200" t="str">
        <f t="shared" si="6"/>
        <v>Freitag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>IF(K32="Resturlaub",(I32/24)/60,IF(O32=0,"",O32))</f>
        <v/>
      </c>
      <c r="K32" s="215"/>
      <c r="L32" s="192" t="str">
        <f t="shared" si="12"/>
        <v/>
      </c>
      <c r="M32" s="130" t="str">
        <f t="shared" si="8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4"/>
        <v>12</v>
      </c>
      <c r="C33" s="98">
        <f t="shared" si="5"/>
        <v>2017</v>
      </c>
      <c r="D33" s="200" t="str">
        <f t="shared" si="6"/>
        <v>Samstag</v>
      </c>
      <c r="E33" s="201" t="str">
        <f>IF(ISNA(INDEX(X!$W$7:$W$20,MATCH(DATE($G$7,$E$7,A33),X!$AC$7:$AC$20,0))),"X",1)</f>
        <v>X</v>
      </c>
      <c r="F33" s="202">
        <f t="shared" si="17"/>
        <v>2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7"/>
        <v/>
      </c>
      <c r="K33" s="215"/>
      <c r="L33" s="192" t="str">
        <f t="shared" si="12"/>
        <v/>
      </c>
      <c r="M33" s="130" t="str">
        <f t="shared" si="8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4"/>
        <v>12</v>
      </c>
      <c r="C34" s="98">
        <f t="shared" si="5"/>
        <v>2017</v>
      </c>
      <c r="D34" s="200" t="str">
        <f t="shared" si="6"/>
        <v>Sonntag</v>
      </c>
      <c r="E34" s="201">
        <f>IF(ISNA(INDEX(X!$W$7:$W$20,MATCH(DATE($G$7,$E$7,A34),X!$AC$7:$AC$20,0))),"X",1)</f>
        <v>1</v>
      </c>
      <c r="F34" s="202">
        <f t="shared" si="17"/>
        <v>2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7"/>
        <v/>
      </c>
      <c r="K34" s="215"/>
      <c r="L34" s="192" t="str">
        <f t="shared" si="12"/>
        <v/>
      </c>
      <c r="M34" s="130" t="str">
        <f t="shared" si="8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4"/>
        <v>12</v>
      </c>
      <c r="C35" s="98">
        <f t="shared" si="5"/>
        <v>2017</v>
      </c>
      <c r="D35" s="200" t="str">
        <f t="shared" si="6"/>
        <v>Montag</v>
      </c>
      <c r="E35" s="201">
        <f>IF(ISNA(INDEX(X!$W$7:$W$20,MATCH(DATE($G$7,$E$7,A35),X!$AC$7:$AC$20,0))),"X",1)</f>
        <v>1</v>
      </c>
      <c r="F35" s="202">
        <f t="shared" si="17"/>
        <v>2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7"/>
        <v/>
      </c>
      <c r="K35" s="215"/>
      <c r="L35" s="192" t="str">
        <f t="shared" si="12"/>
        <v/>
      </c>
      <c r="M35" s="130" t="str">
        <f t="shared" si="8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4"/>
        <v>12</v>
      </c>
      <c r="C36" s="98">
        <f t="shared" si="5"/>
        <v>2017</v>
      </c>
      <c r="D36" s="200" t="str">
        <f t="shared" si="6"/>
        <v>Dienstag</v>
      </c>
      <c r="E36" s="201">
        <f>IF(ISNA(INDEX(X!$W$7:$W$20,MATCH(DATE($G$7,$E$7,A36),X!$AC$7:$AC$20,0))),"X",1)</f>
        <v>1</v>
      </c>
      <c r="F36" s="202">
        <f t="shared" si="17"/>
        <v>2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7"/>
        <v/>
      </c>
      <c r="K36" s="215"/>
      <c r="L36" s="192" t="str">
        <f t="shared" si="12"/>
        <v/>
      </c>
      <c r="M36" s="130" t="str">
        <f t="shared" si="8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4"/>
        <v>12</v>
      </c>
      <c r="C37" s="98">
        <f t="shared" si="5"/>
        <v>2017</v>
      </c>
      <c r="D37" s="200" t="str">
        <f t="shared" si="6"/>
        <v>Mittwoch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>IF(K37="Resturlaub",(I37/24)/60,IF(O37=0,"",O37))</f>
        <v/>
      </c>
      <c r="K37" s="215"/>
      <c r="L37" s="192" t="str">
        <f t="shared" si="12"/>
        <v/>
      </c>
      <c r="M37" s="130" t="str">
        <f t="shared" si="8"/>
        <v/>
      </c>
      <c r="N37" s="131">
        <f>((HOUR(H37)*60+MINUTE(H37))/24)-((HOUR(G37)*60+MINUTE(G37))/24)</f>
        <v>0</v>
      </c>
      <c r="O37" s="132" t="str">
        <f>IF(N37=0,IF(M37="","",IF((M37/60)&lt;0,TEXT(-((M37/60)/24),"-[h]:mm"),IF((M37/60)&gt;24,TEXT((((M37/60)-24)/24)+(24/24),"[hh]:mm"),M36/60))),IF(N37&gt;15,(N37-(30/24))/60,N37/60))</f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4"/>
        <v>12</v>
      </c>
      <c r="C38" s="98">
        <f t="shared" si="5"/>
        <v>2017</v>
      </c>
      <c r="D38" s="200" t="str">
        <f t="shared" si="6"/>
        <v>Donnerstag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>IF(K38="Resturlaub",(I38/24)/60,IF(O38=0,"",O38))</f>
        <v/>
      </c>
      <c r="K38" s="215"/>
      <c r="L38" s="192" t="str">
        <f t="shared" si="12"/>
        <v/>
      </c>
      <c r="M38" s="130" t="str">
        <f t="shared" si="8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4"/>
        <v>12</v>
      </c>
      <c r="C39" s="98">
        <f t="shared" si="5"/>
        <v>2017</v>
      </c>
      <c r="D39" s="200" t="str">
        <f t="shared" si="6"/>
        <v>Freitag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>IF(K39="Resturlaub",(I39/24)/60,IF(O39=0,"",O39))</f>
        <v/>
      </c>
      <c r="K39" s="215"/>
      <c r="L39" s="192" t="str">
        <f t="shared" si="12"/>
        <v/>
      </c>
      <c r="M39" s="130" t="str">
        <f t="shared" si="8"/>
        <v/>
      </c>
      <c r="N39" s="131">
        <f t="shared" si="15"/>
        <v>0</v>
      </c>
      <c r="O39" s="132" t="str">
        <f>IF(N39=0,IF(M39="","",IF((M39/60)&lt;0,TEXT(-((M39/60)/24),"-[h]:mm"),IF((M39/60)&gt;24,TEXT((((M39/60)-24)/24)+(24/24),"[hh]:mm"),M38/60))),IF(N39&gt;15,(N39-(30/24))/60,N39/60))</f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40"/>
      <c r="V39" s="40"/>
      <c r="W39" s="40"/>
      <c r="X39" s="89"/>
      <c r="Y39" s="264"/>
    </row>
    <row r="40" spans="1:25" x14ac:dyDescent="0.2">
      <c r="A40" s="199">
        <v>30</v>
      </c>
      <c r="B40" s="98">
        <f t="shared" si="4"/>
        <v>12</v>
      </c>
      <c r="C40" s="98">
        <f t="shared" si="5"/>
        <v>2017</v>
      </c>
      <c r="D40" s="200" t="str">
        <f t="shared" si="6"/>
        <v>Samstag</v>
      </c>
      <c r="E40" s="201" t="str">
        <f>IF(ISNA(INDEX(X!$W$7:$W$20,MATCH(DATE($G$7,$E$7,A40),X!$AC$7:$AC$20,0))),"X",1)</f>
        <v>X</v>
      </c>
      <c r="F40" s="202">
        <f t="shared" si="17"/>
        <v>2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7"/>
        <v/>
      </c>
      <c r="K40" s="215"/>
      <c r="L40" s="192" t="str">
        <f t="shared" si="12"/>
        <v/>
      </c>
      <c r="M40" s="130" t="str">
        <f t="shared" si="8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>
        <f>IF(OR(B41=1,B41=3,B41=5,B41=7,B41=8,B41=10,B41=12),31,"")</f>
        <v>31</v>
      </c>
      <c r="B41" s="204">
        <f t="shared" si="4"/>
        <v>12</v>
      </c>
      <c r="C41" s="204">
        <f t="shared" si="5"/>
        <v>2017</v>
      </c>
      <c r="D41" s="205" t="str">
        <f>IF(A41="","",TEXT(DATE($G$7,$E$7,A41),"TTTT"))</f>
        <v>Sonntag</v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7"/>
        <v/>
      </c>
      <c r="K41" s="216"/>
      <c r="L41" s="192" t="str">
        <f t="shared" si="12"/>
        <v/>
      </c>
      <c r="M41" s="134" t="str">
        <f t="shared" si="8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W8">
    <cfRule type="containsText" dxfId="44" priority="59" operator="containsText" text="zu wenig!">
      <formula>NOT(ISERROR(SEARCH("zu wenig!",W8)))</formula>
    </cfRule>
    <cfRule type="containsText" dxfId="43" priority="60" operator="containsText" text="zu viel!">
      <formula>NOT(ISERROR(SEARCH("zu viel!",W8)))</formula>
    </cfRule>
  </conditionalFormatting>
  <conditionalFormatting sqref="A11:E41 G11:K41">
    <cfRule type="expression" dxfId="42" priority="41">
      <formula>$F11=2</formula>
    </cfRule>
    <cfRule type="expression" dxfId="41" priority="43">
      <formula>$F11=1</formula>
    </cfRule>
  </conditionalFormatting>
  <conditionalFormatting sqref="L11:L41">
    <cfRule type="expression" dxfId="40" priority="32">
      <formula>$F11=2</formula>
    </cfRule>
    <cfRule type="expression" dxfId="39" priority="34">
      <formula>$F11=1</formula>
    </cfRule>
  </conditionalFormatting>
  <conditionalFormatting sqref="W17">
    <cfRule type="containsText" dxfId="38" priority="36" operator="containsText" text="zu wenig!">
      <formula>NOT(ISERROR(SEARCH("zu wenig!",W17)))</formula>
    </cfRule>
    <cfRule type="containsText" dxfId="37" priority="37" operator="containsText" text="zu viel!">
      <formula>NOT(ISERROR(SEARCH("zu viel!",W17)))</formula>
    </cfRule>
  </conditionalFormatting>
  <conditionalFormatting sqref="V10:W17">
    <cfRule type="expression" dxfId="36" priority="35">
      <formula>$K$8=""</formula>
    </cfRule>
  </conditionalFormatting>
  <conditionalFormatting sqref="X10:X17">
    <cfRule type="expression" dxfId="35" priority="22">
      <formula>$K$8=""</formula>
    </cfRule>
  </conditionalFormatting>
  <conditionalFormatting sqref="S10:T48">
    <cfRule type="expression" dxfId="32" priority="6">
      <formula>$A$9=""</formula>
    </cfRule>
  </conditionalFormatting>
  <conditionalFormatting sqref="S11:T41">
    <cfRule type="expression" dxfId="31" priority="4">
      <formula>$F11=1</formula>
    </cfRule>
    <cfRule type="expression" dxfId="30" priority="5">
      <formula>$F11=2</formula>
    </cfRule>
  </conditionalFormatting>
  <conditionalFormatting sqref="S6:T49">
    <cfRule type="expression" dxfId="29" priority="3">
      <formula>$M$8=""</formula>
    </cfRule>
  </conditionalFormatting>
  <conditionalFormatting sqref="F11:F41">
    <cfRule type="expression" dxfId="3" priority="1">
      <formula>$F11=2</formula>
    </cfRule>
    <cfRule type="expression" dxfId="2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4"/>
  <dimension ref="A1:AC654"/>
  <sheetViews>
    <sheetView topLeftCell="F1" workbookViewId="0">
      <selection activeCell="AE7" sqref="AE7"/>
    </sheetView>
  </sheetViews>
  <sheetFormatPr baseColWidth="10" defaultRowHeight="15" outlineLevelCol="1" x14ac:dyDescent="0.25"/>
  <cols>
    <col min="1" max="5" width="0" style="1" hidden="1" customWidth="1"/>
    <col min="6" max="6" width="11.42578125" style="1"/>
    <col min="7" max="7" width="0" style="1" hidden="1" customWidth="1"/>
    <col min="8" max="8" width="8.42578125" style="1" hidden="1" customWidth="1" outlineLevel="1"/>
    <col min="9" max="9" width="5.85546875" style="1" hidden="1" customWidth="1" outlineLevel="1"/>
    <col min="10" max="11" width="3.42578125" style="1" hidden="1" customWidth="1" outlineLevel="1"/>
    <col min="12" max="12" width="2.28515625" style="1" hidden="1" customWidth="1" outlineLevel="1"/>
    <col min="13" max="13" width="3.42578125" style="1" hidden="1" customWidth="1" outlineLevel="1"/>
    <col min="14" max="14" width="11.85546875" style="19" hidden="1" customWidth="1"/>
    <col min="15" max="15" width="3.42578125" style="1" hidden="1" customWidth="1"/>
    <col min="16" max="16" width="20.42578125" style="1" hidden="1" customWidth="1"/>
    <col min="17" max="17" width="10.140625" style="14" hidden="1" customWidth="1"/>
    <col min="18" max="18" width="5" style="1" hidden="1" customWidth="1"/>
    <col min="19" max="19" width="6.5703125" style="1" hidden="1" customWidth="1"/>
    <col min="20" max="20" width="26.7109375" style="1" hidden="1" customWidth="1"/>
    <col min="21" max="21" width="10.140625" style="1" hidden="1" customWidth="1"/>
    <col min="22" max="22" width="11.85546875" style="1" bestFit="1" customWidth="1"/>
    <col min="23" max="23" width="20.5703125" style="1" bestFit="1" customWidth="1"/>
    <col min="24" max="24" width="3.5703125" style="1" hidden="1" customWidth="1"/>
    <col min="25" max="28" width="11.42578125" style="1" hidden="1" customWidth="1"/>
    <col min="29" max="16384" width="11.42578125" style="1"/>
  </cols>
  <sheetData>
    <row r="1" spans="1:29" x14ac:dyDescent="0.2">
      <c r="F1" s="2">
        <v>42005</v>
      </c>
      <c r="H1" s="3" t="str">
        <f>LEFT(RIGHT(0&amp;LEFT(Q1,FIND(".",Q1)-1),2)&amp;"."&amp;RIGHT(0&amp;MID(TRIM(LEFT(SUBSTITUTE(Q1,".","      ",2),5)),FIND(".",TRIM(LEFT(SUBSTITUTE(Q1,".","      ",2),5)))+1,3),2)&amp;".",6)</f>
        <v>31.03.</v>
      </c>
      <c r="I1" s="4">
        <v>2400</v>
      </c>
      <c r="J1" s="5">
        <f t="shared" ref="J1:J64" si="0">INT(I1/100)</f>
        <v>24</v>
      </c>
      <c r="K1" s="5">
        <f t="shared" ref="K1:K64" si="1">MOD(19*MOD(I1,19)+J1-INT(J1/4)-INT((J1-INT((J1+8)/25)+1)/3)+15,30)</f>
        <v>19</v>
      </c>
      <c r="L1" s="5">
        <f t="shared" ref="L1:L64" si="2">MOD(32+2*MOD(J1,4)+2*INT(MOD(I1,100)/4)-K1-MOD(MOD(I1,100),4),7)</f>
        <v>6</v>
      </c>
      <c r="M1" s="5">
        <f t="shared" ref="M1:M64" si="3">K1+L1-7*INT((MOD(I1,19)+11*K1+22*L1)/451)+22</f>
        <v>47</v>
      </c>
      <c r="N1" s="6" t="str">
        <f t="shared" ref="N1:N64" si="4">TEXT(IF(M1-31 &lt; 1,M1,M1-31),"0#")&amp;"."&amp;IF(M1 &gt; 31,"04.","03.")&amp;I1</f>
        <v>16.04.2400</v>
      </c>
      <c r="O1" s="7">
        <f>SUMPRODUCT((P3:P99&lt;&gt;"")*1)</f>
        <v>30</v>
      </c>
      <c r="P1" s="8" t="s">
        <v>26</v>
      </c>
      <c r="Q1" s="9" t="s">
        <v>27</v>
      </c>
      <c r="R1" s="10"/>
      <c r="S1" s="11" t="str">
        <f>HYPERLINK("#H4","Anfang")</f>
        <v>Anfang</v>
      </c>
      <c r="T1" s="12" t="s">
        <v>28</v>
      </c>
      <c r="U1" s="8" t="s">
        <v>29</v>
      </c>
      <c r="V1" s="3">
        <f>Uebersicht!D5</f>
        <v>2017</v>
      </c>
      <c r="W1" s="10"/>
      <c r="X1" s="10"/>
    </row>
    <row r="2" spans="1:29" x14ac:dyDescent="0.25">
      <c r="A2" s="13"/>
      <c r="F2" s="1">
        <f ca="1">MAX((TRUNC(DATE(ROW(INDIRECT(1900&amp;":"&amp;F1)),3,56-MOD(MOD(ROW(INDIRECT(1900&amp;":"&amp;F1)),19)*10.63+5,29))/7)*7+1=DATE(ROW(INDIRECT(1900 &amp; ":" &amp; F1)),MONTH(D1),DAY(D1)))*(TRUNC(DATE(ROW(INDIRECT(1900&amp;":"&amp;F1)),3,56-MOD(MOD(ROW(INDIRECT(1900&amp;":"&amp;F1)),19)*10.63+5,29))/7)*7+1))</f>
        <v>0</v>
      </c>
      <c r="H2" s="14"/>
      <c r="I2" s="15">
        <v>2399</v>
      </c>
      <c r="J2" s="16">
        <f t="shared" si="0"/>
        <v>23</v>
      </c>
      <c r="K2" s="16">
        <f t="shared" si="1"/>
        <v>1</v>
      </c>
      <c r="L2" s="16">
        <f t="shared" si="2"/>
        <v>5</v>
      </c>
      <c r="M2" s="16">
        <f t="shared" si="3"/>
        <v>28</v>
      </c>
      <c r="N2" s="17" t="str">
        <f t="shared" si="4"/>
        <v>28.03.2399</v>
      </c>
      <c r="Q2" s="18" t="str">
        <f>IF(OR(ISNUMBER(FIND({",";";"},Q1)),ISERROR(FIND(".",Q1))),"Punkte, Du Trottel",IF(ISERROR(H3),"außerhalb der Bandbreite",""))</f>
        <v/>
      </c>
      <c r="S2" s="19"/>
      <c r="T2" s="12" t="s">
        <v>30</v>
      </c>
      <c r="U2" s="8"/>
    </row>
    <row r="3" spans="1:29" x14ac:dyDescent="0.25">
      <c r="A3" s="13"/>
      <c r="H3" s="20">
        <f t="array" ref="H3">SMALL(IF(LEFT(N$1:N$999,6)=H$1,ROW($1:$999)),ROW(I1))</f>
        <v>5</v>
      </c>
      <c r="I3" s="21">
        <v>2398</v>
      </c>
      <c r="J3" s="16">
        <f t="shared" si="0"/>
        <v>23</v>
      </c>
      <c r="K3" s="16">
        <f t="shared" si="1"/>
        <v>12</v>
      </c>
      <c r="L3" s="16">
        <f t="shared" si="2"/>
        <v>2</v>
      </c>
      <c r="M3" s="16">
        <f t="shared" si="3"/>
        <v>36</v>
      </c>
      <c r="N3" s="17" t="str">
        <f t="shared" si="4"/>
        <v>05.04.2398</v>
      </c>
      <c r="P3" s="22" t="str">
        <f t="shared" ref="P3:P40" si="5">IF(ISNUMBER(H3),INDEX(N:N,H3),"")</f>
        <v>31.03.2396</v>
      </c>
      <c r="Q3" s="23" t="str">
        <f ca="1">IF(ISNUMBER(P3*1),IF(AND(P3*1&gt;=TODAY(),IF(ISNUMBER(P4*1),P4*1,TODAY()-1)&lt;TODAY()),"nächster",""),"")</f>
        <v/>
      </c>
      <c r="S3" s="23"/>
      <c r="T3" s="19"/>
      <c r="V3" s="24" t="str">
        <f>IF(V1="","",IF(OR(V1*1&lt;1750,V1*1&gt;2400),"1750 - 2400",INDEX(N:N,MATCH(V1*1,I:I,0))))</f>
        <v>16.04.2017</v>
      </c>
    </row>
    <row r="4" spans="1:29" x14ac:dyDescent="0.25">
      <c r="A4" s="13"/>
      <c r="H4" s="20">
        <f t="array" ref="H4">SMALL(IF(LEFT(N$1:N$999,6)=H$1,ROW($1:$999)),ROW(I2))</f>
        <v>16</v>
      </c>
      <c r="I4" s="15">
        <v>2397</v>
      </c>
      <c r="J4" s="16">
        <f t="shared" si="0"/>
        <v>23</v>
      </c>
      <c r="K4" s="16">
        <f t="shared" si="1"/>
        <v>23</v>
      </c>
      <c r="L4" s="16">
        <f t="shared" si="2"/>
        <v>6</v>
      </c>
      <c r="M4" s="16">
        <f t="shared" si="3"/>
        <v>51</v>
      </c>
      <c r="N4" s="17" t="str">
        <f t="shared" si="4"/>
        <v>20.04.2397</v>
      </c>
      <c r="P4" s="22" t="str">
        <f t="shared" si="5"/>
        <v>31.03.2385</v>
      </c>
      <c r="Q4" s="23" t="str">
        <f t="shared" ref="Q4:Q40" ca="1" si="6">IF(ISNUMBER(P4*1),IF(AND(P4*1&gt;=TODAY(),IF(ISNUMBER(P5*1),P5*1,TODAY()-1)&lt;TODAY()),"nächster",""),"")</f>
        <v/>
      </c>
      <c r="S4" s="23"/>
    </row>
    <row r="5" spans="1:29" x14ac:dyDescent="0.25">
      <c r="A5" s="25"/>
      <c r="F5" s="1" t="e">
        <f>ROUND((DAY(MINUTE(F1/38)/2+55)&amp;".4."&amp;V7)/7,)*7-6</f>
        <v>#VALUE!</v>
      </c>
      <c r="H5" s="20">
        <f t="array" ref="H5">SMALL(IF(LEFT(N$1:N$999,6)=H$1,ROW($1:$999)),ROW(I3))</f>
        <v>27</v>
      </c>
      <c r="I5" s="21">
        <v>2396</v>
      </c>
      <c r="J5" s="16">
        <f t="shared" si="0"/>
        <v>23</v>
      </c>
      <c r="K5" s="16">
        <f t="shared" si="1"/>
        <v>4</v>
      </c>
      <c r="L5" s="16">
        <f t="shared" si="2"/>
        <v>5</v>
      </c>
      <c r="M5" s="16">
        <f t="shared" si="3"/>
        <v>31</v>
      </c>
      <c r="N5" s="17" t="str">
        <f t="shared" si="4"/>
        <v>31.03.2396</v>
      </c>
      <c r="P5" s="22" t="str">
        <f t="shared" si="5"/>
        <v>31.03.2374</v>
      </c>
      <c r="Q5" s="23" t="str">
        <f t="shared" ca="1" si="6"/>
        <v/>
      </c>
      <c r="S5" s="23"/>
    </row>
    <row r="6" spans="1:29" x14ac:dyDescent="0.25">
      <c r="A6" s="13"/>
      <c r="H6" s="20">
        <f t="array" ref="H6">SMALL(IF(LEFT(N$1:N$999,6)=H$1,ROW($1:$999)),ROW(I4))</f>
        <v>38</v>
      </c>
      <c r="I6" s="15">
        <v>2395</v>
      </c>
      <c r="J6" s="16">
        <f t="shared" si="0"/>
        <v>23</v>
      </c>
      <c r="K6" s="16">
        <f t="shared" si="1"/>
        <v>15</v>
      </c>
      <c r="L6" s="16">
        <f t="shared" si="2"/>
        <v>3</v>
      </c>
      <c r="M6" s="16">
        <f t="shared" si="3"/>
        <v>40</v>
      </c>
      <c r="N6" s="17" t="str">
        <f t="shared" si="4"/>
        <v>09.04.2395</v>
      </c>
      <c r="P6" s="22" t="str">
        <f t="shared" si="5"/>
        <v>31.03.2363</v>
      </c>
      <c r="Q6" s="23" t="str">
        <f t="shared" ca="1" si="6"/>
        <v/>
      </c>
      <c r="S6" s="23"/>
      <c r="V6" s="26"/>
      <c r="W6" s="19"/>
      <c r="X6" s="1">
        <v>-52</v>
      </c>
    </row>
    <row r="7" spans="1:29" x14ac:dyDescent="0.25">
      <c r="A7" s="13"/>
      <c r="F7" s="30">
        <f>V7</f>
        <v>42736</v>
      </c>
      <c r="H7" s="20">
        <f t="array" ref="H7">SMALL(IF(LEFT(N$1:N$999,6)=H$1,ROW($1:$999)),ROW(I5))</f>
        <v>89</v>
      </c>
      <c r="I7" s="21">
        <v>2394</v>
      </c>
      <c r="J7" s="16">
        <f t="shared" si="0"/>
        <v>23</v>
      </c>
      <c r="K7" s="16">
        <f t="shared" si="1"/>
        <v>26</v>
      </c>
      <c r="L7" s="16">
        <f t="shared" si="2"/>
        <v>0</v>
      </c>
      <c r="M7" s="16">
        <f t="shared" si="3"/>
        <v>48</v>
      </c>
      <c r="N7" s="17" t="str">
        <f t="shared" si="4"/>
        <v>17.04.2394</v>
      </c>
      <c r="P7" s="22" t="str">
        <f t="shared" si="5"/>
        <v>31.03.2312</v>
      </c>
      <c r="Q7" s="23" t="str">
        <f t="shared" ca="1" si="6"/>
        <v/>
      </c>
      <c r="S7" s="23"/>
      <c r="V7" s="36">
        <f>DATE(YEAR(DATE(Uebersicht!D5,1,1)),1,1)</f>
        <v>42736</v>
      </c>
      <c r="W7" s="19" t="s">
        <v>42</v>
      </c>
      <c r="Z7" s="33">
        <f>MONTH(V7)</f>
        <v>1</v>
      </c>
      <c r="AA7" s="38">
        <f>DATE($V$1,Z7,1)</f>
        <v>42736</v>
      </c>
      <c r="AB7" s="1">
        <f>DAY(V7)</f>
        <v>1</v>
      </c>
      <c r="AC7" s="2">
        <f>DATE($V$1,Z7,AB7)</f>
        <v>42736</v>
      </c>
    </row>
    <row r="8" spans="1:29" x14ac:dyDescent="0.25">
      <c r="A8" s="13"/>
      <c r="F8" s="30" t="str">
        <f>V8</f>
        <v>14.04.2017</v>
      </c>
      <c r="H8" s="20">
        <f t="array" ref="H8">SMALL(IF(LEFT(N$1:N$999,6)=H$1,ROW($1:$999)),ROW(I6))</f>
        <v>100</v>
      </c>
      <c r="I8" s="15">
        <v>2393</v>
      </c>
      <c r="J8" s="16">
        <f t="shared" si="0"/>
        <v>23</v>
      </c>
      <c r="K8" s="16">
        <f t="shared" si="1"/>
        <v>8</v>
      </c>
      <c r="L8" s="16">
        <f t="shared" si="2"/>
        <v>5</v>
      </c>
      <c r="M8" s="16">
        <f t="shared" si="3"/>
        <v>35</v>
      </c>
      <c r="N8" s="17" t="str">
        <f t="shared" si="4"/>
        <v>04.04.2393</v>
      </c>
      <c r="P8" s="22" t="str">
        <f t="shared" si="5"/>
        <v>31.03.2301</v>
      </c>
      <c r="Q8" s="23" t="str">
        <f t="shared" ca="1" si="6"/>
        <v/>
      </c>
      <c r="S8" s="23"/>
      <c r="V8" s="37" t="str">
        <f t="shared" ref="V8:V13" si="7">TEXT(DAY((LEFT(V$3,6)&amp;RIGHT(V$3,4)+4000)+X8),"00")&amp;"."&amp;TEXT(MONTH((LEFT(V$3,6)&amp;RIGHT(V$3,4)+4000)+X8),"00")&amp;"."&amp;RIGHT(V$3,4)</f>
        <v>14.04.2017</v>
      </c>
      <c r="W8" s="19" t="s">
        <v>31</v>
      </c>
      <c r="X8" s="1">
        <v>-2</v>
      </c>
      <c r="Z8" s="33">
        <f>MONTH(V8)</f>
        <v>4</v>
      </c>
      <c r="AA8" s="38">
        <f t="shared" ref="AA8:AA20" si="8">DATE($V$1,Z8,1)</f>
        <v>42826</v>
      </c>
      <c r="AB8" s="1">
        <f t="shared" ref="AB8:AB20" si="9">DAY(V8)</f>
        <v>14</v>
      </c>
      <c r="AC8" s="2">
        <f t="shared" ref="AC8:AC20" si="10">DATE($V$1,Z8,AB8)</f>
        <v>42839</v>
      </c>
    </row>
    <row r="9" spans="1:29" x14ac:dyDescent="0.25">
      <c r="F9" s="30" t="str">
        <f t="shared" ref="F9:F20" si="11">V9</f>
        <v>16.04.2017</v>
      </c>
      <c r="H9" s="20">
        <f t="array" ref="H9">SMALL(IF(LEFT(N$1:N$999,6)=H$1,ROW($1:$999)),ROW(I7))</f>
        <v>157</v>
      </c>
      <c r="I9" s="21">
        <v>2392</v>
      </c>
      <c r="J9" s="16">
        <f t="shared" si="0"/>
        <v>23</v>
      </c>
      <c r="K9" s="16">
        <f t="shared" si="1"/>
        <v>19</v>
      </c>
      <c r="L9" s="16">
        <f t="shared" si="2"/>
        <v>2</v>
      </c>
      <c r="M9" s="16">
        <f t="shared" si="3"/>
        <v>43</v>
      </c>
      <c r="N9" s="17" t="str">
        <f t="shared" si="4"/>
        <v>12.04.2392</v>
      </c>
      <c r="P9" s="22" t="str">
        <f t="shared" si="5"/>
        <v>31.03.2244</v>
      </c>
      <c r="Q9" s="23" t="str">
        <f t="shared" ca="1" si="6"/>
        <v/>
      </c>
      <c r="S9" s="23"/>
      <c r="V9" s="32" t="str">
        <f>TEXT(DAY((LEFT(V$3,6)&amp;RIGHT(V$3,4)+4000)+X9),"00")&amp;"."&amp;TEXT(MONTH((LEFT(V$3,6)&amp;RIGHT(V$3,4)+4000)+X9),"00")&amp;"."&amp;RIGHT(V$3,4)</f>
        <v>16.04.2017</v>
      </c>
      <c r="W9" s="27" t="s">
        <v>32</v>
      </c>
      <c r="X9" s="28">
        <v>0</v>
      </c>
      <c r="Z9" s="33">
        <f t="shared" ref="Z9:Z20" si="12">MONTH(V9)</f>
        <v>4</v>
      </c>
      <c r="AA9" s="38">
        <f t="shared" si="8"/>
        <v>42826</v>
      </c>
      <c r="AB9" s="1">
        <f t="shared" si="9"/>
        <v>16</v>
      </c>
      <c r="AC9" s="2">
        <f t="shared" si="10"/>
        <v>42841</v>
      </c>
    </row>
    <row r="10" spans="1:29" x14ac:dyDescent="0.25">
      <c r="F10" s="30" t="str">
        <f t="shared" si="11"/>
        <v>17.04.2017</v>
      </c>
      <c r="H10" s="20">
        <f t="array" ref="H10">SMALL(IF(LEFT(N$1:N$999,6)=H$1,ROW($1:$999)),ROW(I8))</f>
        <v>168</v>
      </c>
      <c r="I10" s="15">
        <v>2391</v>
      </c>
      <c r="J10" s="16">
        <f t="shared" si="0"/>
        <v>23</v>
      </c>
      <c r="K10" s="16">
        <f t="shared" si="1"/>
        <v>0</v>
      </c>
      <c r="L10" s="16">
        <f t="shared" si="2"/>
        <v>2</v>
      </c>
      <c r="M10" s="16">
        <f t="shared" si="3"/>
        <v>24</v>
      </c>
      <c r="N10" s="17" t="str">
        <f t="shared" si="4"/>
        <v>24.03.2391</v>
      </c>
      <c r="P10" s="22" t="str">
        <f t="shared" si="5"/>
        <v>31.03.2233</v>
      </c>
      <c r="Q10" s="23" t="str">
        <f t="shared" ca="1" si="6"/>
        <v/>
      </c>
      <c r="S10" s="23"/>
      <c r="T10" s="19"/>
      <c r="V10" s="37" t="str">
        <f t="shared" si="7"/>
        <v>17.04.2017</v>
      </c>
      <c r="W10" s="19" t="s">
        <v>33</v>
      </c>
      <c r="X10" s="1">
        <v>1</v>
      </c>
      <c r="Z10" s="33">
        <f>MONTH(V10)</f>
        <v>4</v>
      </c>
      <c r="AA10" s="38">
        <f>DATE($V$1,Z10,1)</f>
        <v>42826</v>
      </c>
      <c r="AB10" s="1">
        <f t="shared" si="9"/>
        <v>17</v>
      </c>
      <c r="AC10" s="2">
        <f t="shared" si="10"/>
        <v>42842</v>
      </c>
    </row>
    <row r="11" spans="1:29" x14ac:dyDescent="0.25">
      <c r="F11" s="30" t="str">
        <f t="shared" si="11"/>
        <v>25.05.2017</v>
      </c>
      <c r="H11" s="20">
        <f t="array" ref="H11">SMALL(IF(LEFT(N$1:N$999,6)=H$1,ROW($1:$999)),ROW(I9))</f>
        <v>179</v>
      </c>
      <c r="I11" s="21">
        <v>2390</v>
      </c>
      <c r="J11" s="16">
        <f t="shared" si="0"/>
        <v>23</v>
      </c>
      <c r="K11" s="16">
        <f t="shared" si="1"/>
        <v>11</v>
      </c>
      <c r="L11" s="16">
        <f t="shared" si="2"/>
        <v>6</v>
      </c>
      <c r="M11" s="16">
        <f t="shared" si="3"/>
        <v>39</v>
      </c>
      <c r="N11" s="17" t="str">
        <f t="shared" si="4"/>
        <v>08.04.2390</v>
      </c>
      <c r="P11" s="22" t="str">
        <f t="shared" si="5"/>
        <v>31.03.2222</v>
      </c>
      <c r="Q11" s="23" t="str">
        <f t="shared" ca="1" si="6"/>
        <v/>
      </c>
      <c r="S11" s="23"/>
      <c r="V11" s="37" t="str">
        <f t="shared" si="7"/>
        <v>25.05.2017</v>
      </c>
      <c r="W11" s="19" t="s">
        <v>46</v>
      </c>
      <c r="X11" s="1">
        <v>39</v>
      </c>
      <c r="Z11" s="33">
        <f t="shared" si="12"/>
        <v>5</v>
      </c>
      <c r="AA11" s="38">
        <f t="shared" si="8"/>
        <v>42856</v>
      </c>
      <c r="AB11" s="1">
        <f t="shared" si="9"/>
        <v>25</v>
      </c>
      <c r="AC11" s="2">
        <f t="shared" si="10"/>
        <v>42880</v>
      </c>
    </row>
    <row r="12" spans="1:29" x14ac:dyDescent="0.25">
      <c r="F12" s="30" t="str">
        <f t="shared" si="11"/>
        <v>04.06.2017</v>
      </c>
      <c r="H12" s="20">
        <f t="array" ref="H12">SMALL(IF(LEFT(N$1:N$999,6)=H$1,ROW($1:$999)),ROW(I10))</f>
        <v>190</v>
      </c>
      <c r="I12" s="15">
        <v>2389</v>
      </c>
      <c r="J12" s="16">
        <f t="shared" si="0"/>
        <v>23</v>
      </c>
      <c r="K12" s="16">
        <f t="shared" si="1"/>
        <v>22</v>
      </c>
      <c r="L12" s="16">
        <f t="shared" si="2"/>
        <v>3</v>
      </c>
      <c r="M12" s="16">
        <f t="shared" si="3"/>
        <v>47</v>
      </c>
      <c r="N12" s="17" t="str">
        <f t="shared" si="4"/>
        <v>16.04.2389</v>
      </c>
      <c r="P12" s="22" t="str">
        <f t="shared" si="5"/>
        <v>31.03.2211</v>
      </c>
      <c r="Q12" s="23" t="str">
        <f t="shared" ca="1" si="6"/>
        <v/>
      </c>
      <c r="S12" s="23"/>
      <c r="V12" s="37" t="str">
        <f t="shared" si="7"/>
        <v>04.06.2017</v>
      </c>
      <c r="W12" s="19" t="s">
        <v>34</v>
      </c>
      <c r="X12" s="1">
        <v>49</v>
      </c>
      <c r="Z12" s="33">
        <f t="shared" si="12"/>
        <v>6</v>
      </c>
      <c r="AA12" s="38">
        <f t="shared" si="8"/>
        <v>42887</v>
      </c>
      <c r="AB12" s="1">
        <f t="shared" si="9"/>
        <v>4</v>
      </c>
      <c r="AC12" s="2">
        <f t="shared" si="10"/>
        <v>42890</v>
      </c>
    </row>
    <row r="13" spans="1:29" x14ac:dyDescent="0.25">
      <c r="F13" s="30" t="str">
        <f t="shared" si="11"/>
        <v>05.06.2017</v>
      </c>
      <c r="H13" s="20">
        <f t="array" ref="H13">SMALL(IF(LEFT(N$1:N$999,6)=H$1,ROW($1:$999)),ROW(I11))</f>
        <v>225</v>
      </c>
      <c r="I13" s="21">
        <v>2388</v>
      </c>
      <c r="J13" s="16">
        <f t="shared" si="0"/>
        <v>23</v>
      </c>
      <c r="K13" s="16">
        <f t="shared" si="1"/>
        <v>3</v>
      </c>
      <c r="L13" s="16">
        <f t="shared" si="2"/>
        <v>2</v>
      </c>
      <c r="M13" s="16">
        <f t="shared" si="3"/>
        <v>27</v>
      </c>
      <c r="N13" s="17" t="str">
        <f t="shared" si="4"/>
        <v>27.03.2388</v>
      </c>
      <c r="P13" s="22" t="str">
        <f t="shared" si="5"/>
        <v>31.03.2176</v>
      </c>
      <c r="Q13" s="23" t="str">
        <f t="shared" ca="1" si="6"/>
        <v/>
      </c>
      <c r="S13" s="23"/>
      <c r="V13" s="37" t="str">
        <f t="shared" si="7"/>
        <v>05.06.2017</v>
      </c>
      <c r="W13" s="19" t="s">
        <v>35</v>
      </c>
      <c r="X13" s="1">
        <v>50</v>
      </c>
      <c r="Z13" s="33">
        <f t="shared" si="12"/>
        <v>6</v>
      </c>
      <c r="AA13" s="38">
        <f t="shared" si="8"/>
        <v>42887</v>
      </c>
      <c r="AB13" s="1">
        <f t="shared" si="9"/>
        <v>5</v>
      </c>
      <c r="AC13" s="2">
        <f t="shared" si="10"/>
        <v>42891</v>
      </c>
    </row>
    <row r="14" spans="1:29" x14ac:dyDescent="0.25">
      <c r="F14" s="30">
        <f t="shared" si="11"/>
        <v>42856</v>
      </c>
      <c r="H14" s="20">
        <f t="array" ref="H14">SMALL(IF(LEFT(N$1:N$999,6)=H$1,ROW($1:$999)),ROW(I12))</f>
        <v>236</v>
      </c>
      <c r="I14" s="15">
        <v>2387</v>
      </c>
      <c r="J14" s="16">
        <f t="shared" si="0"/>
        <v>23</v>
      </c>
      <c r="K14" s="16">
        <f t="shared" si="1"/>
        <v>14</v>
      </c>
      <c r="L14" s="16">
        <f t="shared" si="2"/>
        <v>0</v>
      </c>
      <c r="M14" s="16">
        <f t="shared" si="3"/>
        <v>36</v>
      </c>
      <c r="N14" s="17" t="str">
        <f t="shared" si="4"/>
        <v>05.04.2387</v>
      </c>
      <c r="P14" s="22" t="str">
        <f t="shared" si="5"/>
        <v>31.03.2165</v>
      </c>
      <c r="Q14" s="23" t="str">
        <f t="shared" ca="1" si="6"/>
        <v/>
      </c>
      <c r="S14" s="23"/>
      <c r="V14" s="36">
        <f>DATE(YEAR(DATE(Uebersicht!D5,1,1)),5,1)</f>
        <v>42856</v>
      </c>
      <c r="W14" s="49" t="s">
        <v>47</v>
      </c>
      <c r="Z14" s="33">
        <f t="shared" si="12"/>
        <v>5</v>
      </c>
      <c r="AA14" s="38">
        <f t="shared" si="8"/>
        <v>42856</v>
      </c>
      <c r="AB14" s="1">
        <f t="shared" si="9"/>
        <v>1</v>
      </c>
      <c r="AC14" s="2">
        <f>DATE($V$1,Z14,AB14)</f>
        <v>42856</v>
      </c>
    </row>
    <row r="15" spans="1:29" x14ac:dyDescent="0.25">
      <c r="F15" s="30">
        <f t="shared" si="11"/>
        <v>43011</v>
      </c>
      <c r="H15" s="20">
        <f t="array" ref="H15">SMALL(IF(LEFT(N$1:N$999,6)=H$1,ROW($1:$999)),ROW(I13))</f>
        <v>247</v>
      </c>
      <c r="I15" s="21">
        <v>2386</v>
      </c>
      <c r="J15" s="16">
        <f t="shared" si="0"/>
        <v>23</v>
      </c>
      <c r="K15" s="16">
        <f t="shared" si="1"/>
        <v>25</v>
      </c>
      <c r="L15" s="16">
        <f t="shared" si="2"/>
        <v>4</v>
      </c>
      <c r="M15" s="16">
        <f t="shared" si="3"/>
        <v>51</v>
      </c>
      <c r="N15" s="17" t="str">
        <f t="shared" si="4"/>
        <v>20.04.2386</v>
      </c>
      <c r="P15" s="22" t="str">
        <f t="shared" si="5"/>
        <v>31.03.2154</v>
      </c>
      <c r="Q15" s="23" t="str">
        <f t="shared" ca="1" si="6"/>
        <v/>
      </c>
      <c r="S15" s="23"/>
      <c r="V15" s="37">
        <f>DATE(YEAR(DATE(Uebersicht!D5,1,1)),10,3)</f>
        <v>43011</v>
      </c>
      <c r="W15" s="19" t="s">
        <v>36</v>
      </c>
      <c r="Z15" s="33">
        <f t="shared" si="12"/>
        <v>10</v>
      </c>
      <c r="AA15" s="38">
        <f t="shared" si="8"/>
        <v>43009</v>
      </c>
      <c r="AB15" s="1">
        <f t="shared" si="9"/>
        <v>3</v>
      </c>
      <c r="AC15" s="2">
        <f t="shared" si="10"/>
        <v>43011</v>
      </c>
    </row>
    <row r="16" spans="1:29" x14ac:dyDescent="0.25">
      <c r="F16" s="30">
        <f t="shared" si="11"/>
        <v>43039</v>
      </c>
      <c r="H16" s="20">
        <f t="array" ref="H16">SMALL(IF(LEFT(N$1:N$999,6)=H$1,ROW($1:$999)),ROW(I14))</f>
        <v>258</v>
      </c>
      <c r="I16" s="15">
        <v>2385</v>
      </c>
      <c r="J16" s="16">
        <f t="shared" si="0"/>
        <v>23</v>
      </c>
      <c r="K16" s="16">
        <f t="shared" si="1"/>
        <v>6</v>
      </c>
      <c r="L16" s="16">
        <f t="shared" si="2"/>
        <v>3</v>
      </c>
      <c r="M16" s="16">
        <f t="shared" si="3"/>
        <v>31</v>
      </c>
      <c r="N16" s="17" t="str">
        <f t="shared" si="4"/>
        <v>31.03.2385</v>
      </c>
      <c r="P16" s="22" t="str">
        <f t="shared" si="5"/>
        <v>31.03.2143</v>
      </c>
      <c r="Q16" s="23" t="str">
        <f t="shared" ca="1" si="6"/>
        <v/>
      </c>
      <c r="S16" s="23"/>
      <c r="V16" s="37">
        <f>DATE(YEAR(DATE(Uebersicht!D5,1,1)),10,31)</f>
        <v>43039</v>
      </c>
      <c r="W16" s="19" t="s">
        <v>37</v>
      </c>
      <c r="Z16" s="33">
        <f t="shared" si="12"/>
        <v>10</v>
      </c>
      <c r="AA16" s="38">
        <f t="shared" si="8"/>
        <v>43009</v>
      </c>
      <c r="AB16" s="1">
        <f t="shared" si="9"/>
        <v>31</v>
      </c>
      <c r="AC16" s="2">
        <f t="shared" si="10"/>
        <v>43039</v>
      </c>
    </row>
    <row r="17" spans="6:29" x14ac:dyDescent="0.25">
      <c r="F17" s="30">
        <f t="shared" si="11"/>
        <v>43093</v>
      </c>
      <c r="H17" s="20">
        <f t="array" ref="H17">SMALL(IF(LEFT(N$1:N$999,6)=H$1,ROW($1:$999)),ROW(I15))</f>
        <v>304</v>
      </c>
      <c r="I17" s="21">
        <v>2384</v>
      </c>
      <c r="J17" s="16">
        <f t="shared" si="0"/>
        <v>23</v>
      </c>
      <c r="K17" s="16">
        <f t="shared" si="1"/>
        <v>17</v>
      </c>
      <c r="L17" s="16">
        <f t="shared" si="2"/>
        <v>0</v>
      </c>
      <c r="M17" s="16">
        <f t="shared" si="3"/>
        <v>39</v>
      </c>
      <c r="N17" s="17" t="str">
        <f t="shared" si="4"/>
        <v>08.04.2384</v>
      </c>
      <c r="P17" s="22" t="str">
        <f t="shared" si="5"/>
        <v>31.03.2097</v>
      </c>
      <c r="Q17" s="23" t="str">
        <f t="shared" ca="1" si="6"/>
        <v/>
      </c>
      <c r="S17" s="23"/>
      <c r="V17" s="37">
        <f>DATE(YEAR(DATE(Uebersicht!D5,1,1)),12,24)</f>
        <v>43093</v>
      </c>
      <c r="W17" s="19" t="s">
        <v>38</v>
      </c>
      <c r="Z17" s="33">
        <f t="shared" si="12"/>
        <v>12</v>
      </c>
      <c r="AA17" s="38">
        <f t="shared" si="8"/>
        <v>43070</v>
      </c>
      <c r="AB17" s="1">
        <f t="shared" si="9"/>
        <v>24</v>
      </c>
      <c r="AC17" s="2">
        <f t="shared" si="10"/>
        <v>43093</v>
      </c>
    </row>
    <row r="18" spans="6:29" x14ac:dyDescent="0.25">
      <c r="F18" s="30">
        <f t="shared" si="11"/>
        <v>43094</v>
      </c>
      <c r="H18" s="20">
        <f t="array" ref="H18">SMALL(IF(LEFT(N$1:N$999,6)=H$1,ROW($1:$999)),ROW(I16))</f>
        <v>315</v>
      </c>
      <c r="I18" s="15">
        <v>2383</v>
      </c>
      <c r="J18" s="16">
        <f t="shared" si="0"/>
        <v>23</v>
      </c>
      <c r="K18" s="16">
        <f t="shared" si="1"/>
        <v>28</v>
      </c>
      <c r="L18" s="16">
        <f t="shared" si="2"/>
        <v>5</v>
      </c>
      <c r="M18" s="16">
        <f t="shared" si="3"/>
        <v>55</v>
      </c>
      <c r="N18" s="17" t="str">
        <f t="shared" si="4"/>
        <v>24.04.2383</v>
      </c>
      <c r="P18" s="22" t="str">
        <f t="shared" si="5"/>
        <v>31.03.2086</v>
      </c>
      <c r="Q18" s="23" t="str">
        <f t="shared" ca="1" si="6"/>
        <v/>
      </c>
      <c r="S18" s="23"/>
      <c r="V18" s="37">
        <f>DATE(YEAR(DATE(Uebersicht!D5,1,1)),12,25)</f>
        <v>43094</v>
      </c>
      <c r="W18" s="19" t="s">
        <v>39</v>
      </c>
      <c r="Z18" s="33">
        <f t="shared" si="12"/>
        <v>12</v>
      </c>
      <c r="AA18" s="38">
        <f t="shared" si="8"/>
        <v>43070</v>
      </c>
      <c r="AB18" s="1">
        <f t="shared" si="9"/>
        <v>25</v>
      </c>
      <c r="AC18" s="2">
        <f t="shared" si="10"/>
        <v>43094</v>
      </c>
    </row>
    <row r="19" spans="6:29" x14ac:dyDescent="0.25">
      <c r="F19" s="30">
        <f t="shared" si="11"/>
        <v>43095</v>
      </c>
      <c r="H19" s="20">
        <f t="array" ref="H19">SMALL(IF(LEFT(N$1:N$999,6)=H$1,ROW($1:$999)),ROW(I17))</f>
        <v>377</v>
      </c>
      <c r="I19" s="21">
        <v>2382</v>
      </c>
      <c r="J19" s="16">
        <f t="shared" si="0"/>
        <v>23</v>
      </c>
      <c r="K19" s="16">
        <f t="shared" si="1"/>
        <v>9</v>
      </c>
      <c r="L19" s="16">
        <f t="shared" si="2"/>
        <v>4</v>
      </c>
      <c r="M19" s="16">
        <f t="shared" si="3"/>
        <v>35</v>
      </c>
      <c r="N19" s="17" t="str">
        <f t="shared" si="4"/>
        <v>04.04.2382</v>
      </c>
      <c r="P19" s="22" t="str">
        <f t="shared" si="5"/>
        <v>31.03.2024</v>
      </c>
      <c r="Q19" s="23" t="str">
        <f t="shared" ca="1" si="6"/>
        <v>nächster</v>
      </c>
      <c r="S19" s="23"/>
      <c r="T19" s="2"/>
      <c r="V19" s="37">
        <f>DATE(YEAR(DATE(Uebersicht!D5,1,1)),12,26)</f>
        <v>43095</v>
      </c>
      <c r="W19" s="19" t="s">
        <v>40</v>
      </c>
      <c r="Z19" s="33">
        <f t="shared" si="12"/>
        <v>12</v>
      </c>
      <c r="AA19" s="38">
        <f t="shared" si="8"/>
        <v>43070</v>
      </c>
      <c r="AB19" s="1">
        <f t="shared" si="9"/>
        <v>26</v>
      </c>
      <c r="AC19" s="2">
        <f t="shared" si="10"/>
        <v>43095</v>
      </c>
    </row>
    <row r="20" spans="6:29" x14ac:dyDescent="0.25">
      <c r="F20" s="30">
        <f t="shared" si="11"/>
        <v>43100</v>
      </c>
      <c r="H20" s="20">
        <f t="array" ref="H20">SMALL(IF(LEFT(N$1:N$999,6)=H$1,ROW($1:$999)),ROW(I18))</f>
        <v>388</v>
      </c>
      <c r="I20" s="15">
        <v>2381</v>
      </c>
      <c r="J20" s="16">
        <f t="shared" si="0"/>
        <v>23</v>
      </c>
      <c r="K20" s="16">
        <f t="shared" si="1"/>
        <v>20</v>
      </c>
      <c r="L20" s="16">
        <f t="shared" si="2"/>
        <v>1</v>
      </c>
      <c r="M20" s="16">
        <f t="shared" si="3"/>
        <v>43</v>
      </c>
      <c r="N20" s="17" t="str">
        <f t="shared" si="4"/>
        <v>12.04.2381</v>
      </c>
      <c r="P20" s="22" t="str">
        <f t="shared" si="5"/>
        <v>31.03.2013</v>
      </c>
      <c r="Q20" s="23" t="str">
        <f t="shared" ca="1" si="6"/>
        <v/>
      </c>
      <c r="S20" s="23"/>
      <c r="T20" s="2"/>
      <c r="V20" s="37">
        <f>DATE(YEAR(DATE(Uebersicht!D5,1,1)),12,31)</f>
        <v>43100</v>
      </c>
      <c r="W20" s="19" t="s">
        <v>41</v>
      </c>
      <c r="Z20" s="33">
        <f t="shared" si="12"/>
        <v>12</v>
      </c>
      <c r="AA20" s="38">
        <f t="shared" si="8"/>
        <v>43070</v>
      </c>
      <c r="AB20" s="1">
        <f t="shared" si="9"/>
        <v>31</v>
      </c>
      <c r="AC20" s="2">
        <f t="shared" si="10"/>
        <v>43100</v>
      </c>
    </row>
    <row r="21" spans="6:29" x14ac:dyDescent="0.25">
      <c r="H21" s="20">
        <f t="array" ref="H21">SMALL(IF(LEFT(N$1:N$999,6)=H$1,ROW($1:$999)),ROW(I19))</f>
        <v>399</v>
      </c>
      <c r="I21" s="21">
        <v>2380</v>
      </c>
      <c r="J21" s="16">
        <f t="shared" si="0"/>
        <v>23</v>
      </c>
      <c r="K21" s="16">
        <f t="shared" si="1"/>
        <v>1</v>
      </c>
      <c r="L21" s="16">
        <f t="shared" si="2"/>
        <v>0</v>
      </c>
      <c r="M21" s="16">
        <f t="shared" si="3"/>
        <v>23</v>
      </c>
      <c r="N21" s="17" t="str">
        <f t="shared" si="4"/>
        <v>23.03.2380</v>
      </c>
      <c r="P21" s="22" t="str">
        <f t="shared" si="5"/>
        <v>31.03.2002</v>
      </c>
      <c r="Q21" s="23" t="str">
        <f t="shared" ca="1" si="6"/>
        <v/>
      </c>
      <c r="S21" s="23"/>
      <c r="T21" s="2"/>
    </row>
    <row r="22" spans="6:29" x14ac:dyDescent="0.25">
      <c r="H22" s="20">
        <f t="array" ref="H22">SMALL(IF(LEFT(N$1:N$999,6)=H$1,ROW($1:$999)),ROW(I20))</f>
        <v>410</v>
      </c>
      <c r="I22" s="15">
        <v>2379</v>
      </c>
      <c r="J22" s="16">
        <f t="shared" si="0"/>
        <v>23</v>
      </c>
      <c r="K22" s="16">
        <f t="shared" si="1"/>
        <v>12</v>
      </c>
      <c r="L22" s="16">
        <f t="shared" si="2"/>
        <v>5</v>
      </c>
      <c r="M22" s="16">
        <f t="shared" si="3"/>
        <v>39</v>
      </c>
      <c r="N22" s="17" t="str">
        <f t="shared" si="4"/>
        <v>08.04.2379</v>
      </c>
      <c r="P22" s="22" t="str">
        <f t="shared" si="5"/>
        <v>31.03.1991</v>
      </c>
      <c r="Q22" s="23" t="str">
        <f t="shared" ca="1" si="6"/>
        <v/>
      </c>
      <c r="S22" s="23"/>
      <c r="T22" s="29"/>
      <c r="U22" s="30"/>
      <c r="V22" s="31"/>
    </row>
    <row r="23" spans="6:29" x14ac:dyDescent="0.25">
      <c r="H23" s="20">
        <f t="array" ref="H23">SMALL(IF(LEFT(N$1:N$999,6)=H$1,ROW($1:$999)),ROW(I21))</f>
        <v>472</v>
      </c>
      <c r="I23" s="21">
        <v>2378</v>
      </c>
      <c r="J23" s="16">
        <f t="shared" si="0"/>
        <v>23</v>
      </c>
      <c r="K23" s="16">
        <f t="shared" si="1"/>
        <v>23</v>
      </c>
      <c r="L23" s="16">
        <f t="shared" si="2"/>
        <v>2</v>
      </c>
      <c r="M23" s="16">
        <f t="shared" si="3"/>
        <v>47</v>
      </c>
      <c r="N23" s="17" t="str">
        <f t="shared" si="4"/>
        <v>16.04.2378</v>
      </c>
      <c r="P23" s="22" t="str">
        <f t="shared" si="5"/>
        <v>31.03.1929</v>
      </c>
      <c r="Q23" s="23" t="str">
        <f t="shared" ca="1" si="6"/>
        <v/>
      </c>
      <c r="S23" s="23"/>
    </row>
    <row r="24" spans="6:29" x14ac:dyDescent="0.25">
      <c r="H24" s="20">
        <f t="array" ref="H24">SMALL(IF(LEFT(N$1:N$999,6)=H$1,ROW($1:$999)),ROW(I22))</f>
        <v>483</v>
      </c>
      <c r="I24" s="15">
        <v>2377</v>
      </c>
      <c r="J24" s="16">
        <f t="shared" si="0"/>
        <v>23</v>
      </c>
      <c r="K24" s="16">
        <f t="shared" si="1"/>
        <v>4</v>
      </c>
      <c r="L24" s="16">
        <f t="shared" si="2"/>
        <v>1</v>
      </c>
      <c r="M24" s="16">
        <f t="shared" si="3"/>
        <v>27</v>
      </c>
      <c r="N24" s="17" t="str">
        <f t="shared" si="4"/>
        <v>27.03.2377</v>
      </c>
      <c r="P24" s="22" t="str">
        <f t="shared" si="5"/>
        <v>31.03.1918</v>
      </c>
      <c r="Q24" s="23" t="str">
        <f t="shared" ca="1" si="6"/>
        <v/>
      </c>
      <c r="S24" s="23"/>
    </row>
    <row r="25" spans="6:29" x14ac:dyDescent="0.25">
      <c r="H25" s="20">
        <f t="array" ref="H25">SMALL(IF(LEFT(N$1:N$999,6)=H$1,ROW($1:$999)),ROW(I23))</f>
        <v>494</v>
      </c>
      <c r="I25" s="21">
        <v>2376</v>
      </c>
      <c r="J25" s="16">
        <f t="shared" si="0"/>
        <v>23</v>
      </c>
      <c r="K25" s="16">
        <f t="shared" si="1"/>
        <v>15</v>
      </c>
      <c r="L25" s="16">
        <f t="shared" si="2"/>
        <v>5</v>
      </c>
      <c r="M25" s="16">
        <f t="shared" si="3"/>
        <v>42</v>
      </c>
      <c r="N25" s="17" t="str">
        <f t="shared" si="4"/>
        <v>11.04.2376</v>
      </c>
      <c r="O25" s="32"/>
      <c r="P25" s="22" t="str">
        <f t="shared" si="5"/>
        <v>31.03.1907</v>
      </c>
      <c r="Q25" s="23" t="str">
        <f t="shared" ca="1" si="6"/>
        <v/>
      </c>
      <c r="S25" s="23"/>
      <c r="T25" s="33"/>
    </row>
    <row r="26" spans="6:29" x14ac:dyDescent="0.25">
      <c r="H26" s="20">
        <f t="array" ref="H26">SMALL(IF(LEFT(N$1:N$999,6)=H$1,ROW($1:$999)),ROW(I24))</f>
        <v>529</v>
      </c>
      <c r="I26" s="15">
        <v>2375</v>
      </c>
      <c r="J26" s="16">
        <f t="shared" si="0"/>
        <v>23</v>
      </c>
      <c r="K26" s="16">
        <f t="shared" si="1"/>
        <v>26</v>
      </c>
      <c r="L26" s="16">
        <f t="shared" si="2"/>
        <v>3</v>
      </c>
      <c r="M26" s="16">
        <f t="shared" si="3"/>
        <v>51</v>
      </c>
      <c r="N26" s="17" t="str">
        <f t="shared" si="4"/>
        <v>20.04.2375</v>
      </c>
      <c r="O26" s="32"/>
      <c r="P26" s="22" t="str">
        <f t="shared" si="5"/>
        <v>31.03.1872</v>
      </c>
      <c r="Q26" s="23" t="str">
        <f t="shared" ca="1" si="6"/>
        <v/>
      </c>
      <c r="S26" s="23"/>
    </row>
    <row r="27" spans="6:29" x14ac:dyDescent="0.25">
      <c r="H27" s="20">
        <f t="array" ref="H27">SMALL(IF(LEFT(N$1:N$999,6)=H$1,ROW($1:$999)),ROW(I25))</f>
        <v>540</v>
      </c>
      <c r="I27" s="21">
        <v>2374</v>
      </c>
      <c r="J27" s="16">
        <f t="shared" si="0"/>
        <v>23</v>
      </c>
      <c r="K27" s="16">
        <f t="shared" si="1"/>
        <v>8</v>
      </c>
      <c r="L27" s="16">
        <f t="shared" si="2"/>
        <v>1</v>
      </c>
      <c r="M27" s="16">
        <f t="shared" si="3"/>
        <v>31</v>
      </c>
      <c r="N27" s="17" t="str">
        <f t="shared" si="4"/>
        <v>31.03.2374</v>
      </c>
      <c r="O27" s="32"/>
      <c r="P27" s="22" t="str">
        <f t="shared" si="5"/>
        <v>31.03.1861</v>
      </c>
      <c r="Q27" s="23" t="str">
        <f t="shared" ca="1" si="6"/>
        <v/>
      </c>
      <c r="S27" s="23"/>
    </row>
    <row r="28" spans="6:29" x14ac:dyDescent="0.25">
      <c r="H28" s="20">
        <f t="array" ref="H28">SMALL(IF(LEFT(N$1:N$999,6)=H$1,ROW($1:$999)),ROW(I26))</f>
        <v>551</v>
      </c>
      <c r="I28" s="15">
        <v>2373</v>
      </c>
      <c r="J28" s="16">
        <f t="shared" si="0"/>
        <v>23</v>
      </c>
      <c r="K28" s="16">
        <f t="shared" si="1"/>
        <v>19</v>
      </c>
      <c r="L28" s="16">
        <f t="shared" si="2"/>
        <v>5</v>
      </c>
      <c r="M28" s="16">
        <f t="shared" si="3"/>
        <v>46</v>
      </c>
      <c r="N28" s="17" t="str">
        <f t="shared" si="4"/>
        <v>15.04.2373</v>
      </c>
      <c r="O28" s="32"/>
      <c r="P28" s="22" t="str">
        <f t="shared" si="5"/>
        <v>31.03.1850</v>
      </c>
      <c r="Q28" s="23" t="str">
        <f t="shared" ca="1" si="6"/>
        <v/>
      </c>
      <c r="S28" s="23"/>
    </row>
    <row r="29" spans="6:29" x14ac:dyDescent="0.25">
      <c r="H29" s="20">
        <f t="array" ref="H29">SMALL(IF(LEFT(N$1:N$999,6)=H$1,ROW($1:$999)),ROW(I27))</f>
        <v>562</v>
      </c>
      <c r="I29" s="21">
        <v>2372</v>
      </c>
      <c r="J29" s="16">
        <f t="shared" si="0"/>
        <v>23</v>
      </c>
      <c r="K29" s="16">
        <f t="shared" si="1"/>
        <v>0</v>
      </c>
      <c r="L29" s="16">
        <f t="shared" si="2"/>
        <v>4</v>
      </c>
      <c r="M29" s="16">
        <f t="shared" si="3"/>
        <v>26</v>
      </c>
      <c r="N29" s="17" t="str">
        <f t="shared" si="4"/>
        <v>26.03.2372</v>
      </c>
      <c r="O29" s="32"/>
      <c r="P29" s="22" t="str">
        <f t="shared" si="5"/>
        <v>31.03.1839</v>
      </c>
      <c r="Q29" s="23" t="str">
        <f t="shared" ca="1" si="6"/>
        <v/>
      </c>
      <c r="S29" s="23"/>
    </row>
    <row r="30" spans="6:29" x14ac:dyDescent="0.25">
      <c r="H30" s="20">
        <f t="array" ref="H30">SMALL(IF(LEFT(N$1:N$999,6)=H$1,ROW($1:$999)),ROW(I28))</f>
        <v>608</v>
      </c>
      <c r="I30" s="15">
        <v>2371</v>
      </c>
      <c r="J30" s="16">
        <f t="shared" si="0"/>
        <v>23</v>
      </c>
      <c r="K30" s="16">
        <f t="shared" si="1"/>
        <v>11</v>
      </c>
      <c r="L30" s="16">
        <f t="shared" si="2"/>
        <v>2</v>
      </c>
      <c r="M30" s="16">
        <f t="shared" si="3"/>
        <v>35</v>
      </c>
      <c r="N30" s="17" t="str">
        <f t="shared" si="4"/>
        <v>04.04.2371</v>
      </c>
      <c r="O30" s="32"/>
      <c r="P30" s="22" t="str">
        <f t="shared" si="5"/>
        <v>31.03.1793</v>
      </c>
      <c r="Q30" s="23" t="str">
        <f t="shared" ca="1" si="6"/>
        <v/>
      </c>
      <c r="S30" s="23"/>
    </row>
    <row r="31" spans="6:29" x14ac:dyDescent="0.25">
      <c r="H31" s="20">
        <f t="array" ref="H31">SMALL(IF(LEFT(N$1:N$999,6)=H$1,ROW($1:$999)),ROW(I29))</f>
        <v>619</v>
      </c>
      <c r="I31" s="21">
        <v>2370</v>
      </c>
      <c r="J31" s="16">
        <f t="shared" si="0"/>
        <v>23</v>
      </c>
      <c r="K31" s="16">
        <f t="shared" si="1"/>
        <v>22</v>
      </c>
      <c r="L31" s="16">
        <f t="shared" si="2"/>
        <v>6</v>
      </c>
      <c r="M31" s="16">
        <f t="shared" si="3"/>
        <v>50</v>
      </c>
      <c r="N31" s="17" t="str">
        <f t="shared" si="4"/>
        <v>19.04.2370</v>
      </c>
      <c r="O31" s="32"/>
      <c r="P31" s="22" t="str">
        <f t="shared" si="5"/>
        <v>31.03.1782</v>
      </c>
      <c r="Q31" s="23" t="str">
        <f t="shared" ca="1" si="6"/>
        <v/>
      </c>
      <c r="S31" s="23"/>
    </row>
    <row r="32" spans="6:29" x14ac:dyDescent="0.25">
      <c r="H32" s="20">
        <f t="array" ref="H32">SMALL(IF(LEFT(N$1:N$999,6)=H$1,ROW($1:$999)),ROW(I30))</f>
        <v>630</v>
      </c>
      <c r="I32" s="15">
        <v>2369</v>
      </c>
      <c r="J32" s="16">
        <f t="shared" si="0"/>
        <v>23</v>
      </c>
      <c r="K32" s="16">
        <f t="shared" si="1"/>
        <v>3</v>
      </c>
      <c r="L32" s="16">
        <f t="shared" si="2"/>
        <v>5</v>
      </c>
      <c r="M32" s="16">
        <f t="shared" si="3"/>
        <v>30</v>
      </c>
      <c r="N32" s="17" t="str">
        <f t="shared" si="4"/>
        <v>30.03.2369</v>
      </c>
      <c r="O32" s="32"/>
      <c r="P32" s="22" t="str">
        <f t="shared" si="5"/>
        <v>31.03.1771</v>
      </c>
      <c r="Q32" s="23" t="str">
        <f t="shared" ca="1" si="6"/>
        <v/>
      </c>
      <c r="S32" s="23"/>
    </row>
    <row r="33" spans="8:19" x14ac:dyDescent="0.25">
      <c r="H33" s="20" t="e">
        <f t="array" ref="H33">SMALL(IF(LEFT(N$1:N$999,6)=H$1,ROW($1:$999)),ROW(I31))</f>
        <v>#NUM!</v>
      </c>
      <c r="I33" s="21">
        <v>2368</v>
      </c>
      <c r="J33" s="16">
        <f t="shared" si="0"/>
        <v>23</v>
      </c>
      <c r="K33" s="16">
        <f t="shared" si="1"/>
        <v>14</v>
      </c>
      <c r="L33" s="16">
        <f t="shared" si="2"/>
        <v>2</v>
      </c>
      <c r="M33" s="16">
        <f t="shared" si="3"/>
        <v>38</v>
      </c>
      <c r="N33" s="17" t="str">
        <f t="shared" si="4"/>
        <v>07.04.2368</v>
      </c>
      <c r="O33" s="32"/>
      <c r="P33" s="22" t="str">
        <f t="shared" si="5"/>
        <v/>
      </c>
      <c r="Q33" s="23" t="str">
        <f t="shared" ca="1" si="6"/>
        <v/>
      </c>
      <c r="S33" s="23"/>
    </row>
    <row r="34" spans="8:19" x14ac:dyDescent="0.25">
      <c r="H34" s="20" t="e">
        <f t="array" ref="H34">SMALL(IF(LEFT(N$1:N$999,6)=H$1,ROW($1:$999)),ROW(I32))</f>
        <v>#NUM!</v>
      </c>
      <c r="I34" s="15">
        <v>2367</v>
      </c>
      <c r="J34" s="16">
        <f t="shared" si="0"/>
        <v>23</v>
      </c>
      <c r="K34" s="16">
        <f t="shared" si="1"/>
        <v>25</v>
      </c>
      <c r="L34" s="16">
        <f t="shared" si="2"/>
        <v>0</v>
      </c>
      <c r="M34" s="16">
        <f t="shared" si="3"/>
        <v>47</v>
      </c>
      <c r="N34" s="17" t="str">
        <f t="shared" si="4"/>
        <v>16.04.2367</v>
      </c>
      <c r="O34" s="32"/>
      <c r="P34" s="22" t="str">
        <f t="shared" si="5"/>
        <v/>
      </c>
      <c r="Q34" s="23" t="str">
        <f t="shared" ca="1" si="6"/>
        <v/>
      </c>
      <c r="S34" s="23"/>
    </row>
    <row r="35" spans="8:19" x14ac:dyDescent="0.25">
      <c r="H35" s="20" t="e">
        <f t="array" ref="H35">SMALL(IF(LEFT(N$1:N$999,6)=H$1,ROW($1:$999)),ROW(I33))</f>
        <v>#NUM!</v>
      </c>
      <c r="I35" s="21">
        <v>2366</v>
      </c>
      <c r="J35" s="16">
        <f t="shared" si="0"/>
        <v>23</v>
      </c>
      <c r="K35" s="16">
        <f t="shared" si="1"/>
        <v>6</v>
      </c>
      <c r="L35" s="16">
        <f t="shared" si="2"/>
        <v>6</v>
      </c>
      <c r="M35" s="16">
        <f t="shared" si="3"/>
        <v>34</v>
      </c>
      <c r="N35" s="17" t="str">
        <f t="shared" si="4"/>
        <v>03.04.2366</v>
      </c>
      <c r="O35" s="32"/>
      <c r="P35" s="22" t="str">
        <f t="shared" si="5"/>
        <v/>
      </c>
      <c r="Q35" s="23" t="str">
        <f t="shared" ca="1" si="6"/>
        <v/>
      </c>
      <c r="S35" s="23"/>
    </row>
    <row r="36" spans="8:19" x14ac:dyDescent="0.25">
      <c r="H36" s="20" t="e">
        <f t="array" ref="H36">SMALL(IF(LEFT(N$1:N$999,6)=H$1,ROW($1:$999)),ROW(I34))</f>
        <v>#NUM!</v>
      </c>
      <c r="I36" s="15">
        <v>2365</v>
      </c>
      <c r="J36" s="16">
        <f t="shared" si="0"/>
        <v>23</v>
      </c>
      <c r="K36" s="16">
        <f t="shared" si="1"/>
        <v>17</v>
      </c>
      <c r="L36" s="16">
        <f t="shared" si="2"/>
        <v>3</v>
      </c>
      <c r="M36" s="16">
        <f t="shared" si="3"/>
        <v>42</v>
      </c>
      <c r="N36" s="17" t="str">
        <f t="shared" si="4"/>
        <v>11.04.2365</v>
      </c>
      <c r="O36" s="32"/>
      <c r="P36" s="22" t="str">
        <f t="shared" si="5"/>
        <v/>
      </c>
      <c r="Q36" s="23" t="str">
        <f t="shared" ca="1" si="6"/>
        <v/>
      </c>
      <c r="S36" s="23"/>
    </row>
    <row r="37" spans="8:19" x14ac:dyDescent="0.25">
      <c r="H37" s="20" t="e">
        <f t="array" ref="H37">SMALL(IF(LEFT(N$1:N$999,6)=H$1,ROW($1:$999)),ROW(I35))</f>
        <v>#NUM!</v>
      </c>
      <c r="I37" s="21">
        <v>2364</v>
      </c>
      <c r="J37" s="16">
        <f t="shared" si="0"/>
        <v>23</v>
      </c>
      <c r="K37" s="16">
        <f t="shared" si="1"/>
        <v>28</v>
      </c>
      <c r="L37" s="16">
        <f t="shared" si="2"/>
        <v>0</v>
      </c>
      <c r="M37" s="16">
        <f t="shared" si="3"/>
        <v>50</v>
      </c>
      <c r="N37" s="17" t="str">
        <f t="shared" si="4"/>
        <v>19.04.2364</v>
      </c>
      <c r="O37" s="32"/>
      <c r="P37" s="22" t="str">
        <f t="shared" si="5"/>
        <v/>
      </c>
      <c r="Q37" s="23" t="str">
        <f t="shared" ca="1" si="6"/>
        <v/>
      </c>
      <c r="S37" s="23"/>
    </row>
    <row r="38" spans="8:19" x14ac:dyDescent="0.25">
      <c r="H38" s="20" t="e">
        <f t="array" ref="H38">SMALL(IF(LEFT(N$1:N$999,6)=H$1,ROW($1:$999)),ROW(I36))</f>
        <v>#NUM!</v>
      </c>
      <c r="I38" s="15">
        <v>2363</v>
      </c>
      <c r="J38" s="16">
        <f t="shared" si="0"/>
        <v>23</v>
      </c>
      <c r="K38" s="16">
        <f t="shared" si="1"/>
        <v>9</v>
      </c>
      <c r="L38" s="16">
        <f t="shared" si="2"/>
        <v>0</v>
      </c>
      <c r="M38" s="16">
        <f t="shared" si="3"/>
        <v>31</v>
      </c>
      <c r="N38" s="17" t="str">
        <f t="shared" si="4"/>
        <v>31.03.2363</v>
      </c>
      <c r="O38" s="32"/>
      <c r="P38" s="22" t="str">
        <f t="shared" si="5"/>
        <v/>
      </c>
      <c r="Q38" s="23" t="str">
        <f t="shared" ca="1" si="6"/>
        <v/>
      </c>
      <c r="S38" s="23"/>
    </row>
    <row r="39" spans="8:19" x14ac:dyDescent="0.25">
      <c r="H39" s="20" t="e">
        <f t="array" ref="H39">SMALL(IF(LEFT(N$1:N$999,6)=H$1,ROW($1:$999)),ROW(I37))</f>
        <v>#NUM!</v>
      </c>
      <c r="I39" s="21">
        <v>2362</v>
      </c>
      <c r="J39" s="16">
        <f t="shared" si="0"/>
        <v>23</v>
      </c>
      <c r="K39" s="16">
        <f t="shared" si="1"/>
        <v>20</v>
      </c>
      <c r="L39" s="16">
        <f t="shared" si="2"/>
        <v>4</v>
      </c>
      <c r="M39" s="16">
        <f t="shared" si="3"/>
        <v>46</v>
      </c>
      <c r="N39" s="17" t="str">
        <f t="shared" si="4"/>
        <v>15.04.2362</v>
      </c>
      <c r="O39" s="32"/>
      <c r="P39" s="22" t="str">
        <f t="shared" si="5"/>
        <v/>
      </c>
      <c r="Q39" s="23" t="str">
        <f t="shared" ca="1" si="6"/>
        <v/>
      </c>
      <c r="S39" s="23"/>
    </row>
    <row r="40" spans="8:19" x14ac:dyDescent="0.25">
      <c r="H40" s="20" t="e">
        <f t="array" ref="H40">SMALL(IF(LEFT(N$1:N$999,6)=H$1,ROW($1:$999)),ROW(I38))</f>
        <v>#NUM!</v>
      </c>
      <c r="I40" s="15">
        <v>2361</v>
      </c>
      <c r="J40" s="16">
        <f t="shared" si="0"/>
        <v>23</v>
      </c>
      <c r="K40" s="16">
        <f t="shared" si="1"/>
        <v>1</v>
      </c>
      <c r="L40" s="16">
        <f t="shared" si="2"/>
        <v>3</v>
      </c>
      <c r="M40" s="16">
        <f t="shared" si="3"/>
        <v>26</v>
      </c>
      <c r="N40" s="17" t="str">
        <f t="shared" si="4"/>
        <v>26.03.2361</v>
      </c>
      <c r="O40" s="32"/>
      <c r="P40" s="22" t="str">
        <f t="shared" si="5"/>
        <v/>
      </c>
      <c r="Q40" s="23" t="str">
        <f t="shared" ca="1" si="6"/>
        <v/>
      </c>
      <c r="S40" s="23"/>
    </row>
    <row r="41" spans="8:19" x14ac:dyDescent="0.25">
      <c r="I41" s="21">
        <v>2360</v>
      </c>
      <c r="J41" s="16">
        <f t="shared" si="0"/>
        <v>23</v>
      </c>
      <c r="K41" s="16">
        <f t="shared" si="1"/>
        <v>12</v>
      </c>
      <c r="L41" s="16">
        <f t="shared" si="2"/>
        <v>0</v>
      </c>
      <c r="M41" s="16">
        <f t="shared" si="3"/>
        <v>34</v>
      </c>
      <c r="N41" s="17" t="str">
        <f t="shared" si="4"/>
        <v>03.04.2360</v>
      </c>
      <c r="O41" s="32"/>
      <c r="Q41" s="23"/>
      <c r="S41" s="23"/>
    </row>
    <row r="42" spans="8:19" x14ac:dyDescent="0.25">
      <c r="I42" s="15">
        <v>2359</v>
      </c>
      <c r="J42" s="16">
        <f t="shared" si="0"/>
        <v>23</v>
      </c>
      <c r="K42" s="16">
        <f t="shared" si="1"/>
        <v>23</v>
      </c>
      <c r="L42" s="16">
        <f t="shared" si="2"/>
        <v>5</v>
      </c>
      <c r="M42" s="16">
        <f t="shared" si="3"/>
        <v>50</v>
      </c>
      <c r="N42" s="17" t="str">
        <f t="shared" si="4"/>
        <v>19.04.2359</v>
      </c>
      <c r="O42" s="32"/>
      <c r="Q42" s="23"/>
      <c r="S42" s="23"/>
    </row>
    <row r="43" spans="8:19" x14ac:dyDescent="0.25">
      <c r="I43" s="21">
        <v>2358</v>
      </c>
      <c r="J43" s="16">
        <f t="shared" si="0"/>
        <v>23</v>
      </c>
      <c r="K43" s="16">
        <f t="shared" si="1"/>
        <v>4</v>
      </c>
      <c r="L43" s="16">
        <f t="shared" si="2"/>
        <v>4</v>
      </c>
      <c r="M43" s="16">
        <f t="shared" si="3"/>
        <v>30</v>
      </c>
      <c r="N43" s="17" t="str">
        <f t="shared" si="4"/>
        <v>30.03.2358</v>
      </c>
      <c r="O43" s="32"/>
      <c r="Q43" s="23"/>
      <c r="S43" s="23"/>
    </row>
    <row r="44" spans="8:19" x14ac:dyDescent="0.25">
      <c r="I44" s="15">
        <v>2357</v>
      </c>
      <c r="J44" s="16">
        <f t="shared" si="0"/>
        <v>23</v>
      </c>
      <c r="K44" s="16">
        <f t="shared" si="1"/>
        <v>15</v>
      </c>
      <c r="L44" s="16">
        <f t="shared" si="2"/>
        <v>1</v>
      </c>
      <c r="M44" s="16">
        <f t="shared" si="3"/>
        <v>38</v>
      </c>
      <c r="N44" s="17" t="str">
        <f>IF(Q1="WF","Walter Fricke, Derendorf (WF) 24.02.1949 in Bremerhaven                                  ",TEXT(IF(M44-31 &lt; 1,M44,M44-31),"0#")&amp;"."&amp;IF(M44 &gt; 31,"04.","03.")&amp;I44)</f>
        <v>07.04.2357</v>
      </c>
      <c r="O44" s="32"/>
      <c r="S44" s="23"/>
    </row>
    <row r="45" spans="8:19" x14ac:dyDescent="0.25">
      <c r="I45" s="21">
        <v>2356</v>
      </c>
      <c r="J45" s="16">
        <f t="shared" si="0"/>
        <v>23</v>
      </c>
      <c r="K45" s="16">
        <f t="shared" si="1"/>
        <v>26</v>
      </c>
      <c r="L45" s="16">
        <f t="shared" si="2"/>
        <v>5</v>
      </c>
      <c r="M45" s="16">
        <f t="shared" si="3"/>
        <v>53</v>
      </c>
      <c r="N45" s="17" t="str">
        <f t="shared" si="4"/>
        <v>22.04.2356</v>
      </c>
      <c r="O45" s="32"/>
      <c r="S45" s="23"/>
    </row>
    <row r="46" spans="8:19" x14ac:dyDescent="0.25">
      <c r="I46" s="15">
        <v>2355</v>
      </c>
      <c r="J46" s="16">
        <f t="shared" si="0"/>
        <v>23</v>
      </c>
      <c r="K46" s="16">
        <f t="shared" si="1"/>
        <v>8</v>
      </c>
      <c r="L46" s="16">
        <f t="shared" si="2"/>
        <v>4</v>
      </c>
      <c r="M46" s="16">
        <f t="shared" si="3"/>
        <v>34</v>
      </c>
      <c r="N46" s="17" t="str">
        <f t="shared" si="4"/>
        <v>03.04.2355</v>
      </c>
      <c r="O46" s="32"/>
      <c r="S46" s="23"/>
    </row>
    <row r="47" spans="8:19" x14ac:dyDescent="0.25">
      <c r="I47" s="21">
        <v>2354</v>
      </c>
      <c r="J47" s="16">
        <f t="shared" si="0"/>
        <v>23</v>
      </c>
      <c r="K47" s="16">
        <f t="shared" si="1"/>
        <v>19</v>
      </c>
      <c r="L47" s="16">
        <f t="shared" si="2"/>
        <v>1</v>
      </c>
      <c r="M47" s="16">
        <f t="shared" si="3"/>
        <v>42</v>
      </c>
      <c r="N47" s="17" t="str">
        <f t="shared" si="4"/>
        <v>11.04.2354</v>
      </c>
      <c r="O47" s="32"/>
      <c r="S47" s="23"/>
    </row>
    <row r="48" spans="8:19" x14ac:dyDescent="0.25">
      <c r="I48" s="15">
        <v>2353</v>
      </c>
      <c r="J48" s="16">
        <f t="shared" si="0"/>
        <v>23</v>
      </c>
      <c r="K48" s="16">
        <f t="shared" si="1"/>
        <v>0</v>
      </c>
      <c r="L48" s="16">
        <f t="shared" si="2"/>
        <v>0</v>
      </c>
      <c r="M48" s="16">
        <f t="shared" si="3"/>
        <v>22</v>
      </c>
      <c r="N48" s="17" t="str">
        <f t="shared" si="4"/>
        <v>22.03.2353</v>
      </c>
      <c r="O48" s="32"/>
      <c r="S48" s="23"/>
    </row>
    <row r="49" spans="9:19" x14ac:dyDescent="0.25">
      <c r="I49" s="21">
        <v>2352</v>
      </c>
      <c r="J49" s="16">
        <f t="shared" si="0"/>
        <v>23</v>
      </c>
      <c r="K49" s="16">
        <f t="shared" si="1"/>
        <v>11</v>
      </c>
      <c r="L49" s="16">
        <f t="shared" si="2"/>
        <v>4</v>
      </c>
      <c r="M49" s="16">
        <f t="shared" si="3"/>
        <v>37</v>
      </c>
      <c r="N49" s="17" t="str">
        <f t="shared" si="4"/>
        <v>06.04.2352</v>
      </c>
      <c r="O49" s="32"/>
      <c r="S49" s="23"/>
    </row>
    <row r="50" spans="9:19" x14ac:dyDescent="0.25">
      <c r="I50" s="15">
        <v>2351</v>
      </c>
      <c r="J50" s="16">
        <f t="shared" si="0"/>
        <v>23</v>
      </c>
      <c r="K50" s="16">
        <f t="shared" si="1"/>
        <v>22</v>
      </c>
      <c r="L50" s="16">
        <f t="shared" si="2"/>
        <v>2</v>
      </c>
      <c r="M50" s="16">
        <f t="shared" si="3"/>
        <v>46</v>
      </c>
      <c r="N50" s="17" t="str">
        <f t="shared" si="4"/>
        <v>15.04.2351</v>
      </c>
      <c r="O50" s="32"/>
      <c r="S50" s="23"/>
    </row>
    <row r="51" spans="9:19" x14ac:dyDescent="0.25">
      <c r="I51" s="21">
        <v>2350</v>
      </c>
      <c r="J51" s="16">
        <f t="shared" si="0"/>
        <v>23</v>
      </c>
      <c r="K51" s="16">
        <f t="shared" si="1"/>
        <v>3</v>
      </c>
      <c r="L51" s="16">
        <f t="shared" si="2"/>
        <v>1</v>
      </c>
      <c r="M51" s="16">
        <f t="shared" si="3"/>
        <v>26</v>
      </c>
      <c r="N51" s="17" t="str">
        <f t="shared" si="4"/>
        <v>26.03.2350</v>
      </c>
      <c r="O51" s="32"/>
      <c r="S51" s="23"/>
    </row>
    <row r="52" spans="9:19" x14ac:dyDescent="0.25">
      <c r="I52" s="15">
        <v>2349</v>
      </c>
      <c r="J52" s="16">
        <f t="shared" si="0"/>
        <v>23</v>
      </c>
      <c r="K52" s="16">
        <f t="shared" si="1"/>
        <v>14</v>
      </c>
      <c r="L52" s="16">
        <f t="shared" si="2"/>
        <v>5</v>
      </c>
      <c r="M52" s="16">
        <f t="shared" si="3"/>
        <v>41</v>
      </c>
      <c r="N52" s="17" t="str">
        <f t="shared" si="4"/>
        <v>10.04.2349</v>
      </c>
      <c r="O52" s="32"/>
      <c r="S52" s="23"/>
    </row>
    <row r="53" spans="9:19" x14ac:dyDescent="0.25">
      <c r="I53" s="21">
        <v>2348</v>
      </c>
      <c r="J53" s="16">
        <f t="shared" si="0"/>
        <v>23</v>
      </c>
      <c r="K53" s="16">
        <f t="shared" si="1"/>
        <v>25</v>
      </c>
      <c r="L53" s="16">
        <f t="shared" si="2"/>
        <v>2</v>
      </c>
      <c r="M53" s="16">
        <f t="shared" si="3"/>
        <v>49</v>
      </c>
      <c r="N53" s="17" t="str">
        <f t="shared" si="4"/>
        <v>18.04.2348</v>
      </c>
      <c r="O53" s="32"/>
      <c r="S53" s="23"/>
    </row>
    <row r="54" spans="9:19" x14ac:dyDescent="0.25">
      <c r="I54" s="15">
        <v>2347</v>
      </c>
      <c r="J54" s="16">
        <f t="shared" si="0"/>
        <v>23</v>
      </c>
      <c r="K54" s="16">
        <f t="shared" si="1"/>
        <v>6</v>
      </c>
      <c r="L54" s="16">
        <f t="shared" si="2"/>
        <v>2</v>
      </c>
      <c r="M54" s="16">
        <f t="shared" si="3"/>
        <v>30</v>
      </c>
      <c r="N54" s="17" t="str">
        <f t="shared" si="4"/>
        <v>30.03.2347</v>
      </c>
      <c r="O54" s="32"/>
      <c r="S54" s="23"/>
    </row>
    <row r="55" spans="9:19" x14ac:dyDescent="0.25">
      <c r="I55" s="21">
        <v>2346</v>
      </c>
      <c r="J55" s="16">
        <f t="shared" si="0"/>
        <v>23</v>
      </c>
      <c r="K55" s="16">
        <f t="shared" si="1"/>
        <v>17</v>
      </c>
      <c r="L55" s="16">
        <f t="shared" si="2"/>
        <v>6</v>
      </c>
      <c r="M55" s="16">
        <f t="shared" si="3"/>
        <v>45</v>
      </c>
      <c r="N55" s="17" t="str">
        <f t="shared" si="4"/>
        <v>14.04.2346</v>
      </c>
      <c r="O55" s="32"/>
      <c r="S55" s="23"/>
    </row>
    <row r="56" spans="9:19" x14ac:dyDescent="0.25">
      <c r="I56" s="15">
        <v>2345</v>
      </c>
      <c r="J56" s="16">
        <f t="shared" si="0"/>
        <v>23</v>
      </c>
      <c r="K56" s="16">
        <f t="shared" si="1"/>
        <v>28</v>
      </c>
      <c r="L56" s="16">
        <f t="shared" si="2"/>
        <v>3</v>
      </c>
      <c r="M56" s="16">
        <f t="shared" si="3"/>
        <v>53</v>
      </c>
      <c r="N56" s="17" t="str">
        <f t="shared" si="4"/>
        <v>22.04.2345</v>
      </c>
      <c r="O56" s="32"/>
      <c r="S56" s="23"/>
    </row>
    <row r="57" spans="9:19" x14ac:dyDescent="0.25">
      <c r="I57" s="21">
        <v>2344</v>
      </c>
      <c r="J57" s="16">
        <f t="shared" si="0"/>
        <v>23</v>
      </c>
      <c r="K57" s="16">
        <f t="shared" si="1"/>
        <v>9</v>
      </c>
      <c r="L57" s="16">
        <f t="shared" si="2"/>
        <v>2</v>
      </c>
      <c r="M57" s="16">
        <f t="shared" si="3"/>
        <v>33</v>
      </c>
      <c r="N57" s="17" t="str">
        <f t="shared" si="4"/>
        <v>02.04.2344</v>
      </c>
      <c r="O57" s="32"/>
      <c r="S57" s="23"/>
    </row>
    <row r="58" spans="9:19" x14ac:dyDescent="0.25">
      <c r="I58" s="15">
        <v>2343</v>
      </c>
      <c r="J58" s="16">
        <f t="shared" si="0"/>
        <v>23</v>
      </c>
      <c r="K58" s="16">
        <f t="shared" si="1"/>
        <v>20</v>
      </c>
      <c r="L58" s="16">
        <f t="shared" si="2"/>
        <v>0</v>
      </c>
      <c r="M58" s="16">
        <f t="shared" si="3"/>
        <v>42</v>
      </c>
      <c r="N58" s="17" t="str">
        <f t="shared" si="4"/>
        <v>11.04.2343</v>
      </c>
      <c r="O58" s="32"/>
      <c r="S58" s="23"/>
    </row>
    <row r="59" spans="9:19" x14ac:dyDescent="0.25">
      <c r="I59" s="21">
        <v>2342</v>
      </c>
      <c r="J59" s="16">
        <f t="shared" si="0"/>
        <v>23</v>
      </c>
      <c r="K59" s="16">
        <f t="shared" si="1"/>
        <v>1</v>
      </c>
      <c r="L59" s="16">
        <f t="shared" si="2"/>
        <v>6</v>
      </c>
      <c r="M59" s="16">
        <f t="shared" si="3"/>
        <v>29</v>
      </c>
      <c r="N59" s="17" t="str">
        <f t="shared" si="4"/>
        <v>29.03.2342</v>
      </c>
      <c r="O59" s="32"/>
      <c r="S59" s="23"/>
    </row>
    <row r="60" spans="9:19" x14ac:dyDescent="0.25">
      <c r="I60" s="15">
        <v>2341</v>
      </c>
      <c r="J60" s="16">
        <f t="shared" si="0"/>
        <v>23</v>
      </c>
      <c r="K60" s="16">
        <f t="shared" si="1"/>
        <v>12</v>
      </c>
      <c r="L60" s="16">
        <f t="shared" si="2"/>
        <v>3</v>
      </c>
      <c r="M60" s="16">
        <f t="shared" si="3"/>
        <v>37</v>
      </c>
      <c r="N60" s="17" t="str">
        <f t="shared" si="4"/>
        <v>06.04.2341</v>
      </c>
      <c r="O60" s="32"/>
    </row>
    <row r="61" spans="9:19" x14ac:dyDescent="0.25">
      <c r="I61" s="21">
        <v>2340</v>
      </c>
      <c r="J61" s="16">
        <f t="shared" si="0"/>
        <v>23</v>
      </c>
      <c r="K61" s="16">
        <f t="shared" si="1"/>
        <v>23</v>
      </c>
      <c r="L61" s="16">
        <f t="shared" si="2"/>
        <v>0</v>
      </c>
      <c r="M61" s="16">
        <f t="shared" si="3"/>
        <v>45</v>
      </c>
      <c r="N61" s="17" t="str">
        <f t="shared" si="4"/>
        <v>14.04.2340</v>
      </c>
      <c r="O61" s="32"/>
    </row>
    <row r="62" spans="9:19" x14ac:dyDescent="0.25">
      <c r="I62" s="15">
        <v>2339</v>
      </c>
      <c r="J62" s="16">
        <f t="shared" si="0"/>
        <v>23</v>
      </c>
      <c r="K62" s="16">
        <f t="shared" si="1"/>
        <v>4</v>
      </c>
      <c r="L62" s="16">
        <f t="shared" si="2"/>
        <v>0</v>
      </c>
      <c r="M62" s="16">
        <f t="shared" si="3"/>
        <v>26</v>
      </c>
      <c r="N62" s="17" t="str">
        <f t="shared" si="4"/>
        <v>26.03.2339</v>
      </c>
      <c r="O62" s="32"/>
    </row>
    <row r="63" spans="9:19" x14ac:dyDescent="0.25">
      <c r="I63" s="21">
        <v>2338</v>
      </c>
      <c r="J63" s="16">
        <f t="shared" si="0"/>
        <v>23</v>
      </c>
      <c r="K63" s="16">
        <f t="shared" si="1"/>
        <v>15</v>
      </c>
      <c r="L63" s="16">
        <f t="shared" si="2"/>
        <v>4</v>
      </c>
      <c r="M63" s="16">
        <f t="shared" si="3"/>
        <v>41</v>
      </c>
      <c r="N63" s="17" t="str">
        <f t="shared" si="4"/>
        <v>10.04.2338</v>
      </c>
      <c r="O63" s="32"/>
    </row>
    <row r="64" spans="9:19" x14ac:dyDescent="0.25">
      <c r="I64" s="15">
        <v>2337</v>
      </c>
      <c r="J64" s="16">
        <f t="shared" si="0"/>
        <v>23</v>
      </c>
      <c r="K64" s="16">
        <f t="shared" si="1"/>
        <v>26</v>
      </c>
      <c r="L64" s="16">
        <f t="shared" si="2"/>
        <v>1</v>
      </c>
      <c r="M64" s="16">
        <f t="shared" si="3"/>
        <v>49</v>
      </c>
      <c r="N64" s="17" t="str">
        <f t="shared" si="4"/>
        <v>18.04.2337</v>
      </c>
      <c r="O64" s="32"/>
    </row>
    <row r="65" spans="9:15" x14ac:dyDescent="0.25">
      <c r="I65" s="21">
        <v>2336</v>
      </c>
      <c r="J65" s="16">
        <f t="shared" ref="J65:J100" si="13">INT(I65/100)</f>
        <v>23</v>
      </c>
      <c r="K65" s="16">
        <f t="shared" ref="K65:K100" si="14">MOD(19*MOD(I65,19)+J65-INT(J65/4)-INT((J65-INT((J65+8)/25)+1)/3)+15,30)</f>
        <v>8</v>
      </c>
      <c r="L65" s="16">
        <f t="shared" ref="L65:L100" si="15">MOD(32+2*MOD(J65,4)+2*INT(MOD(I65,100)/4)-K65-MOD(MOD(I65,100),4),7)</f>
        <v>6</v>
      </c>
      <c r="M65" s="16">
        <f t="shared" ref="M65:M100" si="16">K65+L65-7*INT((MOD(I65,19)+11*K65+22*L65)/451)+22</f>
        <v>36</v>
      </c>
      <c r="N65" s="17" t="str">
        <f t="shared" ref="N65:N100" si="17">TEXT(IF(M65-31 &lt; 1,M65,M65-31),"0#")&amp;"."&amp;IF(M65 &gt; 31,"04.","03.")&amp;I65</f>
        <v>05.04.2336</v>
      </c>
      <c r="O65" s="32"/>
    </row>
    <row r="66" spans="9:15" x14ac:dyDescent="0.25">
      <c r="I66" s="15">
        <v>2335</v>
      </c>
      <c r="J66" s="16">
        <f t="shared" si="13"/>
        <v>23</v>
      </c>
      <c r="K66" s="16">
        <f t="shared" si="14"/>
        <v>19</v>
      </c>
      <c r="L66" s="16">
        <f t="shared" si="15"/>
        <v>4</v>
      </c>
      <c r="M66" s="16">
        <f t="shared" si="16"/>
        <v>45</v>
      </c>
      <c r="N66" s="17" t="str">
        <f t="shared" si="17"/>
        <v>14.04.2335</v>
      </c>
      <c r="O66" s="32"/>
    </row>
    <row r="67" spans="9:15" x14ac:dyDescent="0.25">
      <c r="I67" s="21">
        <v>2334</v>
      </c>
      <c r="J67" s="16">
        <f t="shared" si="13"/>
        <v>23</v>
      </c>
      <c r="K67" s="16">
        <f t="shared" si="14"/>
        <v>0</v>
      </c>
      <c r="L67" s="16">
        <f t="shared" si="15"/>
        <v>3</v>
      </c>
      <c r="M67" s="16">
        <f t="shared" si="16"/>
        <v>25</v>
      </c>
      <c r="N67" s="17" t="str">
        <f t="shared" si="17"/>
        <v>25.03.2334</v>
      </c>
      <c r="O67" s="32"/>
    </row>
    <row r="68" spans="9:15" x14ac:dyDescent="0.25">
      <c r="I68" s="15">
        <v>2333</v>
      </c>
      <c r="J68" s="16">
        <f t="shared" si="13"/>
        <v>23</v>
      </c>
      <c r="K68" s="16">
        <f t="shared" si="14"/>
        <v>11</v>
      </c>
      <c r="L68" s="16">
        <f t="shared" si="15"/>
        <v>0</v>
      </c>
      <c r="M68" s="16">
        <f t="shared" si="16"/>
        <v>33</v>
      </c>
      <c r="N68" s="17" t="str">
        <f t="shared" si="17"/>
        <v>02.04.2333</v>
      </c>
      <c r="O68" s="32"/>
    </row>
    <row r="69" spans="9:15" x14ac:dyDescent="0.25">
      <c r="I69" s="21">
        <v>2332</v>
      </c>
      <c r="J69" s="16">
        <f t="shared" si="13"/>
        <v>23</v>
      </c>
      <c r="K69" s="16">
        <f t="shared" si="14"/>
        <v>22</v>
      </c>
      <c r="L69" s="16">
        <f t="shared" si="15"/>
        <v>4</v>
      </c>
      <c r="M69" s="16">
        <f t="shared" si="16"/>
        <v>48</v>
      </c>
      <c r="N69" s="17" t="str">
        <f t="shared" si="17"/>
        <v>17.04.2332</v>
      </c>
      <c r="O69" s="32"/>
    </row>
    <row r="70" spans="9:15" x14ac:dyDescent="0.25">
      <c r="I70" s="15">
        <v>2331</v>
      </c>
      <c r="J70" s="16">
        <f t="shared" si="13"/>
        <v>23</v>
      </c>
      <c r="K70" s="16">
        <f t="shared" si="14"/>
        <v>3</v>
      </c>
      <c r="L70" s="16">
        <f t="shared" si="15"/>
        <v>4</v>
      </c>
      <c r="M70" s="16">
        <f t="shared" si="16"/>
        <v>29</v>
      </c>
      <c r="N70" s="17" t="str">
        <f t="shared" si="17"/>
        <v>29.03.2331</v>
      </c>
      <c r="O70" s="32"/>
    </row>
    <row r="71" spans="9:15" x14ac:dyDescent="0.25">
      <c r="I71" s="21">
        <v>2330</v>
      </c>
      <c r="J71" s="16">
        <f t="shared" si="13"/>
        <v>23</v>
      </c>
      <c r="K71" s="16">
        <f t="shared" si="14"/>
        <v>14</v>
      </c>
      <c r="L71" s="16">
        <f t="shared" si="15"/>
        <v>1</v>
      </c>
      <c r="M71" s="16">
        <f t="shared" si="16"/>
        <v>37</v>
      </c>
      <c r="N71" s="17" t="str">
        <f t="shared" si="17"/>
        <v>06.04.2330</v>
      </c>
      <c r="O71" s="32"/>
    </row>
    <row r="72" spans="9:15" x14ac:dyDescent="0.25">
      <c r="I72" s="15">
        <v>2329</v>
      </c>
      <c r="J72" s="16">
        <f t="shared" si="13"/>
        <v>23</v>
      </c>
      <c r="K72" s="16">
        <f t="shared" si="14"/>
        <v>25</v>
      </c>
      <c r="L72" s="16">
        <f t="shared" si="15"/>
        <v>5</v>
      </c>
      <c r="M72" s="16">
        <f t="shared" si="16"/>
        <v>52</v>
      </c>
      <c r="N72" s="17" t="str">
        <f t="shared" si="17"/>
        <v>21.04.2329</v>
      </c>
      <c r="O72" s="32"/>
    </row>
    <row r="73" spans="9:15" x14ac:dyDescent="0.25">
      <c r="I73" s="21">
        <v>2328</v>
      </c>
      <c r="J73" s="16">
        <f t="shared" si="13"/>
        <v>23</v>
      </c>
      <c r="K73" s="16">
        <f t="shared" si="14"/>
        <v>6</v>
      </c>
      <c r="L73" s="16">
        <f t="shared" si="15"/>
        <v>4</v>
      </c>
      <c r="M73" s="16">
        <f t="shared" si="16"/>
        <v>32</v>
      </c>
      <c r="N73" s="17" t="str">
        <f t="shared" si="17"/>
        <v>01.04.2328</v>
      </c>
      <c r="O73" s="32"/>
    </row>
    <row r="74" spans="9:15" x14ac:dyDescent="0.25">
      <c r="I74" s="15">
        <v>2327</v>
      </c>
      <c r="J74" s="16">
        <f t="shared" si="13"/>
        <v>23</v>
      </c>
      <c r="K74" s="16">
        <f t="shared" si="14"/>
        <v>17</v>
      </c>
      <c r="L74" s="16">
        <f t="shared" si="15"/>
        <v>2</v>
      </c>
      <c r="M74" s="16">
        <f t="shared" si="16"/>
        <v>41</v>
      </c>
      <c r="N74" s="17" t="str">
        <f t="shared" si="17"/>
        <v>10.04.2327</v>
      </c>
      <c r="O74" s="32"/>
    </row>
    <row r="75" spans="9:15" x14ac:dyDescent="0.25">
      <c r="I75" s="21">
        <v>2326</v>
      </c>
      <c r="J75" s="16">
        <f t="shared" si="13"/>
        <v>23</v>
      </c>
      <c r="K75" s="16">
        <f t="shared" si="14"/>
        <v>28</v>
      </c>
      <c r="L75" s="16">
        <f t="shared" si="15"/>
        <v>6</v>
      </c>
      <c r="M75" s="16">
        <f t="shared" si="16"/>
        <v>56</v>
      </c>
      <c r="N75" s="17" t="str">
        <f t="shared" si="17"/>
        <v>25.04.2326</v>
      </c>
      <c r="O75" s="32"/>
    </row>
    <row r="76" spans="9:15" x14ac:dyDescent="0.25">
      <c r="I76" s="15">
        <v>2325</v>
      </c>
      <c r="J76" s="16">
        <f t="shared" si="13"/>
        <v>23</v>
      </c>
      <c r="K76" s="16">
        <f t="shared" si="14"/>
        <v>9</v>
      </c>
      <c r="L76" s="16">
        <f t="shared" si="15"/>
        <v>5</v>
      </c>
      <c r="M76" s="16">
        <f t="shared" si="16"/>
        <v>36</v>
      </c>
      <c r="N76" s="17" t="str">
        <f t="shared" si="17"/>
        <v>05.04.2325</v>
      </c>
      <c r="O76" s="32"/>
    </row>
    <row r="77" spans="9:15" x14ac:dyDescent="0.25">
      <c r="I77" s="21">
        <v>2324</v>
      </c>
      <c r="J77" s="16">
        <f t="shared" si="13"/>
        <v>23</v>
      </c>
      <c r="K77" s="16">
        <f t="shared" si="14"/>
        <v>20</v>
      </c>
      <c r="L77" s="16">
        <f t="shared" si="15"/>
        <v>2</v>
      </c>
      <c r="M77" s="16">
        <f t="shared" si="16"/>
        <v>44</v>
      </c>
      <c r="N77" s="17" t="str">
        <f t="shared" si="17"/>
        <v>13.04.2324</v>
      </c>
      <c r="O77" s="32"/>
    </row>
    <row r="78" spans="9:15" x14ac:dyDescent="0.25">
      <c r="I78" s="15">
        <v>2323</v>
      </c>
      <c r="J78" s="16">
        <f t="shared" si="13"/>
        <v>23</v>
      </c>
      <c r="K78" s="16">
        <f t="shared" si="14"/>
        <v>1</v>
      </c>
      <c r="L78" s="16">
        <f t="shared" si="15"/>
        <v>2</v>
      </c>
      <c r="M78" s="16">
        <f t="shared" si="16"/>
        <v>25</v>
      </c>
      <c r="N78" s="17" t="str">
        <f t="shared" si="17"/>
        <v>25.03.2323</v>
      </c>
      <c r="O78" s="32"/>
    </row>
    <row r="79" spans="9:15" x14ac:dyDescent="0.25">
      <c r="I79" s="21">
        <v>2322</v>
      </c>
      <c r="J79" s="16">
        <f t="shared" si="13"/>
        <v>23</v>
      </c>
      <c r="K79" s="16">
        <f t="shared" si="14"/>
        <v>12</v>
      </c>
      <c r="L79" s="16">
        <f t="shared" si="15"/>
        <v>6</v>
      </c>
      <c r="M79" s="16">
        <f t="shared" si="16"/>
        <v>40</v>
      </c>
      <c r="N79" s="17" t="str">
        <f t="shared" si="17"/>
        <v>09.04.2322</v>
      </c>
      <c r="O79" s="32"/>
    </row>
    <row r="80" spans="9:15" x14ac:dyDescent="0.25">
      <c r="I80" s="15">
        <v>2321</v>
      </c>
      <c r="J80" s="16">
        <f t="shared" si="13"/>
        <v>23</v>
      </c>
      <c r="K80" s="16">
        <f t="shared" si="14"/>
        <v>23</v>
      </c>
      <c r="L80" s="16">
        <f t="shared" si="15"/>
        <v>3</v>
      </c>
      <c r="M80" s="16">
        <f t="shared" si="16"/>
        <v>48</v>
      </c>
      <c r="N80" s="17" t="str">
        <f t="shared" si="17"/>
        <v>17.04.2321</v>
      </c>
      <c r="O80" s="32"/>
    </row>
    <row r="81" spans="9:15" x14ac:dyDescent="0.25">
      <c r="I81" s="21">
        <v>2320</v>
      </c>
      <c r="J81" s="16">
        <f t="shared" si="13"/>
        <v>23</v>
      </c>
      <c r="K81" s="16">
        <f t="shared" si="14"/>
        <v>4</v>
      </c>
      <c r="L81" s="16">
        <f t="shared" si="15"/>
        <v>2</v>
      </c>
      <c r="M81" s="16">
        <f t="shared" si="16"/>
        <v>28</v>
      </c>
      <c r="N81" s="17" t="str">
        <f t="shared" si="17"/>
        <v>28.03.2320</v>
      </c>
      <c r="O81" s="32"/>
    </row>
    <row r="82" spans="9:15" x14ac:dyDescent="0.25">
      <c r="I82" s="15">
        <v>2319</v>
      </c>
      <c r="J82" s="16">
        <f t="shared" si="13"/>
        <v>23</v>
      </c>
      <c r="K82" s="16">
        <f t="shared" si="14"/>
        <v>15</v>
      </c>
      <c r="L82" s="16">
        <f t="shared" si="15"/>
        <v>0</v>
      </c>
      <c r="M82" s="16">
        <f t="shared" si="16"/>
        <v>37</v>
      </c>
      <c r="N82" s="17" t="str">
        <f t="shared" si="17"/>
        <v>06.04.2319</v>
      </c>
      <c r="O82" s="32"/>
    </row>
    <row r="83" spans="9:15" x14ac:dyDescent="0.25">
      <c r="I83" s="21">
        <v>2318</v>
      </c>
      <c r="J83" s="16">
        <f t="shared" si="13"/>
        <v>23</v>
      </c>
      <c r="K83" s="16">
        <f t="shared" si="14"/>
        <v>26</v>
      </c>
      <c r="L83" s="16">
        <f t="shared" si="15"/>
        <v>4</v>
      </c>
      <c r="M83" s="16">
        <f t="shared" si="16"/>
        <v>52</v>
      </c>
      <c r="N83" s="17" t="str">
        <f t="shared" si="17"/>
        <v>21.04.2318</v>
      </c>
      <c r="O83" s="32"/>
    </row>
    <row r="84" spans="9:15" x14ac:dyDescent="0.25">
      <c r="I84" s="15">
        <v>2317</v>
      </c>
      <c r="J84" s="16">
        <f t="shared" si="13"/>
        <v>23</v>
      </c>
      <c r="K84" s="16">
        <f t="shared" si="14"/>
        <v>8</v>
      </c>
      <c r="L84" s="16">
        <f t="shared" si="15"/>
        <v>2</v>
      </c>
      <c r="M84" s="16">
        <f t="shared" si="16"/>
        <v>32</v>
      </c>
      <c r="N84" s="17" t="str">
        <f t="shared" si="17"/>
        <v>01.04.2317</v>
      </c>
      <c r="O84" s="32"/>
    </row>
    <row r="85" spans="9:15" x14ac:dyDescent="0.25">
      <c r="I85" s="21">
        <v>2316</v>
      </c>
      <c r="J85" s="16">
        <f t="shared" si="13"/>
        <v>23</v>
      </c>
      <c r="K85" s="16">
        <f t="shared" si="14"/>
        <v>19</v>
      </c>
      <c r="L85" s="16">
        <f t="shared" si="15"/>
        <v>6</v>
      </c>
      <c r="M85" s="16">
        <f t="shared" si="16"/>
        <v>47</v>
      </c>
      <c r="N85" s="17" t="str">
        <f t="shared" si="17"/>
        <v>16.04.2316</v>
      </c>
      <c r="O85" s="32"/>
    </row>
    <row r="86" spans="9:15" x14ac:dyDescent="0.25">
      <c r="I86" s="15">
        <v>2315</v>
      </c>
      <c r="J86" s="16">
        <f t="shared" si="13"/>
        <v>23</v>
      </c>
      <c r="K86" s="16">
        <f t="shared" si="14"/>
        <v>0</v>
      </c>
      <c r="L86" s="16">
        <f t="shared" si="15"/>
        <v>6</v>
      </c>
      <c r="M86" s="16">
        <f t="shared" si="16"/>
        <v>28</v>
      </c>
      <c r="N86" s="17" t="str">
        <f t="shared" si="17"/>
        <v>28.03.2315</v>
      </c>
      <c r="O86" s="32"/>
    </row>
    <row r="87" spans="9:15" x14ac:dyDescent="0.25">
      <c r="I87" s="21">
        <v>2314</v>
      </c>
      <c r="J87" s="16">
        <f t="shared" si="13"/>
        <v>23</v>
      </c>
      <c r="K87" s="16">
        <f t="shared" si="14"/>
        <v>11</v>
      </c>
      <c r="L87" s="16">
        <f t="shared" si="15"/>
        <v>3</v>
      </c>
      <c r="M87" s="16">
        <f t="shared" si="16"/>
        <v>36</v>
      </c>
      <c r="N87" s="17" t="str">
        <f t="shared" si="17"/>
        <v>05.04.2314</v>
      </c>
      <c r="O87" s="32"/>
    </row>
    <row r="88" spans="9:15" x14ac:dyDescent="0.25">
      <c r="I88" s="15">
        <v>2313</v>
      </c>
      <c r="J88" s="16">
        <f t="shared" si="13"/>
        <v>23</v>
      </c>
      <c r="K88" s="16">
        <f t="shared" si="14"/>
        <v>22</v>
      </c>
      <c r="L88" s="16">
        <f t="shared" si="15"/>
        <v>0</v>
      </c>
      <c r="M88" s="16">
        <f t="shared" si="16"/>
        <v>44</v>
      </c>
      <c r="N88" s="17" t="str">
        <f t="shared" si="17"/>
        <v>13.04.2313</v>
      </c>
      <c r="O88" s="32"/>
    </row>
    <row r="89" spans="9:15" x14ac:dyDescent="0.25">
      <c r="I89" s="21">
        <v>2312</v>
      </c>
      <c r="J89" s="16">
        <f t="shared" si="13"/>
        <v>23</v>
      </c>
      <c r="K89" s="16">
        <f t="shared" si="14"/>
        <v>3</v>
      </c>
      <c r="L89" s="16">
        <f t="shared" si="15"/>
        <v>6</v>
      </c>
      <c r="M89" s="16">
        <f t="shared" si="16"/>
        <v>31</v>
      </c>
      <c r="N89" s="17" t="str">
        <f t="shared" si="17"/>
        <v>31.03.2312</v>
      </c>
      <c r="O89" s="32"/>
    </row>
    <row r="90" spans="9:15" x14ac:dyDescent="0.25">
      <c r="I90" s="15">
        <v>2311</v>
      </c>
      <c r="J90" s="16">
        <f t="shared" si="13"/>
        <v>23</v>
      </c>
      <c r="K90" s="16">
        <f t="shared" si="14"/>
        <v>14</v>
      </c>
      <c r="L90" s="16">
        <f t="shared" si="15"/>
        <v>4</v>
      </c>
      <c r="M90" s="16">
        <f t="shared" si="16"/>
        <v>40</v>
      </c>
      <c r="N90" s="17" t="str">
        <f t="shared" si="17"/>
        <v>09.04.2311</v>
      </c>
      <c r="O90" s="32"/>
    </row>
    <row r="91" spans="9:15" x14ac:dyDescent="0.25">
      <c r="I91" s="21">
        <v>2310</v>
      </c>
      <c r="J91" s="16">
        <f t="shared" si="13"/>
        <v>23</v>
      </c>
      <c r="K91" s="16">
        <f t="shared" si="14"/>
        <v>25</v>
      </c>
      <c r="L91" s="16">
        <f t="shared" si="15"/>
        <v>1</v>
      </c>
      <c r="M91" s="16">
        <f t="shared" si="16"/>
        <v>48</v>
      </c>
      <c r="N91" s="17" t="str">
        <f t="shared" si="17"/>
        <v>17.04.2310</v>
      </c>
      <c r="O91" s="32"/>
    </row>
    <row r="92" spans="9:15" x14ac:dyDescent="0.25">
      <c r="I92" s="15">
        <v>2309</v>
      </c>
      <c r="J92" s="16">
        <f t="shared" si="13"/>
        <v>23</v>
      </c>
      <c r="K92" s="16">
        <f t="shared" si="14"/>
        <v>6</v>
      </c>
      <c r="L92" s="16">
        <f t="shared" si="15"/>
        <v>0</v>
      </c>
      <c r="M92" s="16">
        <f t="shared" si="16"/>
        <v>28</v>
      </c>
      <c r="N92" s="17" t="str">
        <f t="shared" si="17"/>
        <v>28.03.2309</v>
      </c>
      <c r="O92" s="32"/>
    </row>
    <row r="93" spans="9:15" x14ac:dyDescent="0.25">
      <c r="I93" s="21">
        <v>2308</v>
      </c>
      <c r="J93" s="16">
        <f t="shared" si="13"/>
        <v>23</v>
      </c>
      <c r="K93" s="16">
        <f t="shared" si="14"/>
        <v>17</v>
      </c>
      <c r="L93" s="16">
        <f t="shared" si="15"/>
        <v>4</v>
      </c>
      <c r="M93" s="16">
        <f t="shared" si="16"/>
        <v>43</v>
      </c>
      <c r="N93" s="17" t="str">
        <f t="shared" si="17"/>
        <v>12.04.2308</v>
      </c>
      <c r="O93" s="32"/>
    </row>
    <row r="94" spans="9:15" x14ac:dyDescent="0.25">
      <c r="I94" s="15">
        <v>2307</v>
      </c>
      <c r="J94" s="16">
        <f t="shared" si="13"/>
        <v>23</v>
      </c>
      <c r="K94" s="16">
        <f t="shared" si="14"/>
        <v>28</v>
      </c>
      <c r="L94" s="16">
        <f t="shared" si="15"/>
        <v>2</v>
      </c>
      <c r="M94" s="16">
        <f t="shared" si="16"/>
        <v>52</v>
      </c>
      <c r="N94" s="17" t="str">
        <f t="shared" si="17"/>
        <v>21.04.2307</v>
      </c>
      <c r="O94" s="32"/>
    </row>
    <row r="95" spans="9:15" x14ac:dyDescent="0.25">
      <c r="I95" s="21">
        <v>2306</v>
      </c>
      <c r="J95" s="16">
        <f t="shared" si="13"/>
        <v>23</v>
      </c>
      <c r="K95" s="16">
        <f t="shared" si="14"/>
        <v>9</v>
      </c>
      <c r="L95" s="16">
        <f t="shared" si="15"/>
        <v>1</v>
      </c>
      <c r="M95" s="16">
        <f t="shared" si="16"/>
        <v>32</v>
      </c>
      <c r="N95" s="17" t="str">
        <f t="shared" si="17"/>
        <v>01.04.2306</v>
      </c>
      <c r="O95" s="32"/>
    </row>
    <row r="96" spans="9:15" x14ac:dyDescent="0.25">
      <c r="I96" s="15">
        <v>2305</v>
      </c>
      <c r="J96" s="16">
        <f t="shared" si="13"/>
        <v>23</v>
      </c>
      <c r="K96" s="16">
        <f t="shared" si="14"/>
        <v>20</v>
      </c>
      <c r="L96" s="16">
        <f t="shared" si="15"/>
        <v>5</v>
      </c>
      <c r="M96" s="16">
        <f t="shared" si="16"/>
        <v>47</v>
      </c>
      <c r="N96" s="17" t="str">
        <f t="shared" si="17"/>
        <v>16.04.2305</v>
      </c>
      <c r="O96" s="32"/>
    </row>
    <row r="97" spans="9:15" x14ac:dyDescent="0.25">
      <c r="I97" s="21">
        <v>2304</v>
      </c>
      <c r="J97" s="16">
        <f t="shared" si="13"/>
        <v>23</v>
      </c>
      <c r="K97" s="16">
        <f t="shared" si="14"/>
        <v>1</v>
      </c>
      <c r="L97" s="16">
        <f t="shared" si="15"/>
        <v>4</v>
      </c>
      <c r="M97" s="16">
        <f t="shared" si="16"/>
        <v>27</v>
      </c>
      <c r="N97" s="17" t="str">
        <f t="shared" si="17"/>
        <v>27.03.2304</v>
      </c>
      <c r="O97" s="32"/>
    </row>
    <row r="98" spans="9:15" x14ac:dyDescent="0.25">
      <c r="I98" s="15">
        <v>2303</v>
      </c>
      <c r="J98" s="16">
        <f t="shared" si="13"/>
        <v>23</v>
      </c>
      <c r="K98" s="16">
        <f t="shared" si="14"/>
        <v>12</v>
      </c>
      <c r="L98" s="16">
        <f t="shared" si="15"/>
        <v>2</v>
      </c>
      <c r="M98" s="16">
        <f t="shared" si="16"/>
        <v>36</v>
      </c>
      <c r="N98" s="17" t="str">
        <f t="shared" si="17"/>
        <v>05.04.2303</v>
      </c>
      <c r="O98" s="32"/>
    </row>
    <row r="99" spans="9:15" x14ac:dyDescent="0.25">
      <c r="I99" s="21">
        <v>2302</v>
      </c>
      <c r="J99" s="16">
        <f t="shared" si="13"/>
        <v>23</v>
      </c>
      <c r="K99" s="16">
        <f t="shared" si="14"/>
        <v>23</v>
      </c>
      <c r="L99" s="16">
        <f t="shared" si="15"/>
        <v>6</v>
      </c>
      <c r="M99" s="16">
        <f t="shared" si="16"/>
        <v>51</v>
      </c>
      <c r="N99" s="17" t="str">
        <f t="shared" si="17"/>
        <v>20.04.2302</v>
      </c>
      <c r="O99" s="32"/>
    </row>
    <row r="100" spans="9:15" x14ac:dyDescent="0.25">
      <c r="I100" s="15">
        <v>2301</v>
      </c>
      <c r="J100" s="16">
        <f t="shared" si="13"/>
        <v>23</v>
      </c>
      <c r="K100" s="16">
        <f t="shared" si="14"/>
        <v>4</v>
      </c>
      <c r="L100" s="16">
        <f t="shared" si="15"/>
        <v>5</v>
      </c>
      <c r="M100" s="16">
        <f t="shared" si="16"/>
        <v>31</v>
      </c>
      <c r="N100" s="17" t="str">
        <f t="shared" si="17"/>
        <v>31.03.2301</v>
      </c>
      <c r="O100" s="32"/>
    </row>
    <row r="101" spans="9:15" x14ac:dyDescent="0.25">
      <c r="I101" s="21">
        <v>2300</v>
      </c>
      <c r="J101" s="16">
        <f>INT(I101/100)</f>
        <v>23</v>
      </c>
      <c r="K101" s="16">
        <f>MOD(19*MOD(I101,19)+J101-INT(J101/4)-INT((J101-INT((J101+8)/25)+1)/3)+15,30)</f>
        <v>15</v>
      </c>
      <c r="L101" s="16">
        <f>MOD(32+2*MOD(J101,4)+2*INT(MOD(I101,100)/4)-K101-MOD(MOD(I101,100),4),7)</f>
        <v>2</v>
      </c>
      <c r="M101" s="16">
        <f>K101+L101-7*INT((MOD(I101,19)+11*K101+22*L101)/451)+22</f>
        <v>39</v>
      </c>
      <c r="N101" s="17" t="str">
        <f>TEXT(IF(M101-31 &lt; 1,M101,M101-31),"0#")&amp;"."&amp;IF(M101 &gt; 31,"04.","03.")&amp;I101</f>
        <v>08.04.2300</v>
      </c>
      <c r="O101" s="32"/>
    </row>
    <row r="102" spans="9:15" x14ac:dyDescent="0.25">
      <c r="I102" s="15">
        <v>2299</v>
      </c>
      <c r="J102" s="16">
        <f t="shared" ref="J102:J165" si="18">INT(I102/100)</f>
        <v>22</v>
      </c>
      <c r="K102" s="16">
        <f t="shared" ref="K102:K165" si="19">MOD(19*MOD(I102,19)+J102-INT(J102/4)-INT((J102-INT((J102+8)/25)+1)/3)+15,30)</f>
        <v>25</v>
      </c>
      <c r="L102" s="16">
        <f t="shared" ref="L102:L165" si="20">MOD(32+2*MOD(J102,4)+2*INT(MOD(I102,100)/4)-K102-MOD(MOD(I102,100),4),7)</f>
        <v>0</v>
      </c>
      <c r="M102" s="16">
        <f t="shared" ref="M102:M165" si="21">K102+L102-7*INT((MOD(I102,19)+11*K102+22*L102)/451)+22</f>
        <v>47</v>
      </c>
      <c r="N102" s="17" t="str">
        <f t="shared" ref="N102:N165" si="22">TEXT(IF(M102-31 &lt; 1,M102,M102-31),"0#")&amp;"."&amp;IF(M102 &gt; 31,"04.","03.")&amp;I102</f>
        <v>16.04.2299</v>
      </c>
      <c r="O102" s="32"/>
    </row>
    <row r="103" spans="9:15" x14ac:dyDescent="0.25">
      <c r="I103" s="21">
        <v>2298</v>
      </c>
      <c r="J103" s="16">
        <f t="shared" si="18"/>
        <v>22</v>
      </c>
      <c r="K103" s="16">
        <f t="shared" si="19"/>
        <v>7</v>
      </c>
      <c r="L103" s="16">
        <f t="shared" si="20"/>
        <v>5</v>
      </c>
      <c r="M103" s="16">
        <f t="shared" si="21"/>
        <v>34</v>
      </c>
      <c r="N103" s="17" t="str">
        <f t="shared" si="22"/>
        <v>03.04.2298</v>
      </c>
      <c r="O103" s="32"/>
    </row>
    <row r="104" spans="9:15" x14ac:dyDescent="0.25">
      <c r="I104" s="15">
        <v>2297</v>
      </c>
      <c r="J104" s="16">
        <f t="shared" si="18"/>
        <v>22</v>
      </c>
      <c r="K104" s="16">
        <f t="shared" si="19"/>
        <v>18</v>
      </c>
      <c r="L104" s="16">
        <f t="shared" si="20"/>
        <v>2</v>
      </c>
      <c r="M104" s="16">
        <f t="shared" si="21"/>
        <v>42</v>
      </c>
      <c r="N104" s="17" t="str">
        <f t="shared" si="22"/>
        <v>11.04.2297</v>
      </c>
      <c r="O104" s="32"/>
    </row>
    <row r="105" spans="9:15" x14ac:dyDescent="0.25">
      <c r="I105" s="21">
        <v>2296</v>
      </c>
      <c r="J105" s="16">
        <f t="shared" si="18"/>
        <v>22</v>
      </c>
      <c r="K105" s="16">
        <f t="shared" si="19"/>
        <v>29</v>
      </c>
      <c r="L105" s="16">
        <f t="shared" si="20"/>
        <v>6</v>
      </c>
      <c r="M105" s="16">
        <f t="shared" si="21"/>
        <v>50</v>
      </c>
      <c r="N105" s="17" t="str">
        <f t="shared" si="22"/>
        <v>19.04.2296</v>
      </c>
      <c r="O105" s="32"/>
    </row>
    <row r="106" spans="9:15" x14ac:dyDescent="0.25">
      <c r="I106" s="15">
        <v>2295</v>
      </c>
      <c r="J106" s="16">
        <f t="shared" si="18"/>
        <v>22</v>
      </c>
      <c r="K106" s="16">
        <f t="shared" si="19"/>
        <v>10</v>
      </c>
      <c r="L106" s="16">
        <f t="shared" si="20"/>
        <v>6</v>
      </c>
      <c r="M106" s="16">
        <f t="shared" si="21"/>
        <v>38</v>
      </c>
      <c r="N106" s="17" t="str">
        <f t="shared" si="22"/>
        <v>07.04.2295</v>
      </c>
      <c r="O106" s="32"/>
    </row>
    <row r="107" spans="9:15" x14ac:dyDescent="0.25">
      <c r="I107" s="21">
        <v>2294</v>
      </c>
      <c r="J107" s="16">
        <f t="shared" si="18"/>
        <v>22</v>
      </c>
      <c r="K107" s="16">
        <f t="shared" si="19"/>
        <v>21</v>
      </c>
      <c r="L107" s="16">
        <f t="shared" si="20"/>
        <v>3</v>
      </c>
      <c r="M107" s="16">
        <f t="shared" si="21"/>
        <v>46</v>
      </c>
      <c r="N107" s="17" t="str">
        <f t="shared" si="22"/>
        <v>15.04.2294</v>
      </c>
      <c r="O107" s="32"/>
    </row>
    <row r="108" spans="9:15" x14ac:dyDescent="0.25">
      <c r="I108" s="15">
        <v>2293</v>
      </c>
      <c r="J108" s="16">
        <f t="shared" si="18"/>
        <v>22</v>
      </c>
      <c r="K108" s="16">
        <f t="shared" si="19"/>
        <v>2</v>
      </c>
      <c r="L108" s="16">
        <f t="shared" si="20"/>
        <v>2</v>
      </c>
      <c r="M108" s="16">
        <f t="shared" si="21"/>
        <v>26</v>
      </c>
      <c r="N108" s="17" t="str">
        <f t="shared" si="22"/>
        <v>26.03.2293</v>
      </c>
      <c r="O108" s="32"/>
    </row>
    <row r="109" spans="9:15" x14ac:dyDescent="0.25">
      <c r="I109" s="21">
        <v>2292</v>
      </c>
      <c r="J109" s="16">
        <f t="shared" si="18"/>
        <v>22</v>
      </c>
      <c r="K109" s="16">
        <f t="shared" si="19"/>
        <v>13</v>
      </c>
      <c r="L109" s="16">
        <f t="shared" si="20"/>
        <v>6</v>
      </c>
      <c r="M109" s="16">
        <f t="shared" si="21"/>
        <v>41</v>
      </c>
      <c r="N109" s="17" t="str">
        <f t="shared" si="22"/>
        <v>10.04.2292</v>
      </c>
      <c r="O109" s="32"/>
    </row>
    <row r="110" spans="9:15" x14ac:dyDescent="0.25">
      <c r="I110" s="15">
        <v>2291</v>
      </c>
      <c r="J110" s="16">
        <f t="shared" si="18"/>
        <v>22</v>
      </c>
      <c r="K110" s="16">
        <f t="shared" si="19"/>
        <v>24</v>
      </c>
      <c r="L110" s="16">
        <f t="shared" si="20"/>
        <v>4</v>
      </c>
      <c r="M110" s="16">
        <f t="shared" si="21"/>
        <v>50</v>
      </c>
      <c r="N110" s="17" t="str">
        <f t="shared" si="22"/>
        <v>19.04.2291</v>
      </c>
      <c r="O110" s="32"/>
    </row>
    <row r="111" spans="9:15" x14ac:dyDescent="0.25">
      <c r="I111" s="21">
        <v>2290</v>
      </c>
      <c r="J111" s="16">
        <f t="shared" si="18"/>
        <v>22</v>
      </c>
      <c r="K111" s="16">
        <f t="shared" si="19"/>
        <v>5</v>
      </c>
      <c r="L111" s="16">
        <f t="shared" si="20"/>
        <v>3</v>
      </c>
      <c r="M111" s="16">
        <f t="shared" si="21"/>
        <v>30</v>
      </c>
      <c r="N111" s="17" t="str">
        <f t="shared" si="22"/>
        <v>30.03.2290</v>
      </c>
      <c r="O111" s="32"/>
    </row>
    <row r="112" spans="9:15" x14ac:dyDescent="0.25">
      <c r="I112" s="15">
        <v>2289</v>
      </c>
      <c r="J112" s="16">
        <f t="shared" si="18"/>
        <v>22</v>
      </c>
      <c r="K112" s="16">
        <f t="shared" si="19"/>
        <v>16</v>
      </c>
      <c r="L112" s="16">
        <f t="shared" si="20"/>
        <v>0</v>
      </c>
      <c r="M112" s="16">
        <f t="shared" si="21"/>
        <v>38</v>
      </c>
      <c r="N112" s="17" t="str">
        <f t="shared" si="22"/>
        <v>07.04.2289</v>
      </c>
      <c r="O112" s="32"/>
    </row>
    <row r="113" spans="9:15" x14ac:dyDescent="0.25">
      <c r="I113" s="21">
        <v>2288</v>
      </c>
      <c r="J113" s="16">
        <f t="shared" si="18"/>
        <v>22</v>
      </c>
      <c r="K113" s="16">
        <f t="shared" si="19"/>
        <v>27</v>
      </c>
      <c r="L113" s="16">
        <f t="shared" si="20"/>
        <v>4</v>
      </c>
      <c r="M113" s="16">
        <f t="shared" si="21"/>
        <v>53</v>
      </c>
      <c r="N113" s="17" t="str">
        <f t="shared" si="22"/>
        <v>22.04.2288</v>
      </c>
      <c r="O113" s="32"/>
    </row>
    <row r="114" spans="9:15" x14ac:dyDescent="0.25">
      <c r="I114" s="15">
        <v>2287</v>
      </c>
      <c r="J114" s="16">
        <f t="shared" si="18"/>
        <v>22</v>
      </c>
      <c r="K114" s="16">
        <f t="shared" si="19"/>
        <v>8</v>
      </c>
      <c r="L114" s="16">
        <f t="shared" si="20"/>
        <v>4</v>
      </c>
      <c r="M114" s="16">
        <f t="shared" si="21"/>
        <v>34</v>
      </c>
      <c r="N114" s="17" t="str">
        <f t="shared" si="22"/>
        <v>03.04.2287</v>
      </c>
      <c r="O114" s="32"/>
    </row>
    <row r="115" spans="9:15" x14ac:dyDescent="0.25">
      <c r="I115" s="21">
        <v>2286</v>
      </c>
      <c r="J115" s="16">
        <f t="shared" si="18"/>
        <v>22</v>
      </c>
      <c r="K115" s="16">
        <f t="shared" si="19"/>
        <v>19</v>
      </c>
      <c r="L115" s="16">
        <f t="shared" si="20"/>
        <v>1</v>
      </c>
      <c r="M115" s="16">
        <f t="shared" si="21"/>
        <v>42</v>
      </c>
      <c r="N115" s="17" t="str">
        <f t="shared" si="22"/>
        <v>11.04.2286</v>
      </c>
      <c r="O115" s="32"/>
    </row>
    <row r="116" spans="9:15" x14ac:dyDescent="0.25">
      <c r="I116" s="15">
        <v>2285</v>
      </c>
      <c r="J116" s="16">
        <f t="shared" si="18"/>
        <v>22</v>
      </c>
      <c r="K116" s="16">
        <f t="shared" si="19"/>
        <v>0</v>
      </c>
      <c r="L116" s="16">
        <f t="shared" si="20"/>
        <v>0</v>
      </c>
      <c r="M116" s="16">
        <f t="shared" si="21"/>
        <v>22</v>
      </c>
      <c r="N116" s="17" t="str">
        <f t="shared" si="22"/>
        <v>22.03.2285</v>
      </c>
      <c r="O116" s="32"/>
    </row>
    <row r="117" spans="9:15" x14ac:dyDescent="0.25">
      <c r="I117" s="21">
        <v>2284</v>
      </c>
      <c r="J117" s="16">
        <f t="shared" si="18"/>
        <v>22</v>
      </c>
      <c r="K117" s="16">
        <f t="shared" si="19"/>
        <v>11</v>
      </c>
      <c r="L117" s="16">
        <f t="shared" si="20"/>
        <v>4</v>
      </c>
      <c r="M117" s="16">
        <f t="shared" si="21"/>
        <v>37</v>
      </c>
      <c r="N117" s="17" t="str">
        <f t="shared" si="22"/>
        <v>06.04.2284</v>
      </c>
      <c r="O117" s="32"/>
    </row>
    <row r="118" spans="9:15" x14ac:dyDescent="0.25">
      <c r="I118" s="15">
        <v>2283</v>
      </c>
      <c r="J118" s="16">
        <f t="shared" si="18"/>
        <v>22</v>
      </c>
      <c r="K118" s="16">
        <f t="shared" si="19"/>
        <v>22</v>
      </c>
      <c r="L118" s="16">
        <f t="shared" si="20"/>
        <v>2</v>
      </c>
      <c r="M118" s="16">
        <f t="shared" si="21"/>
        <v>46</v>
      </c>
      <c r="N118" s="17" t="str">
        <f t="shared" si="22"/>
        <v>15.04.2283</v>
      </c>
      <c r="O118" s="32"/>
    </row>
    <row r="119" spans="9:15" x14ac:dyDescent="0.25">
      <c r="I119" s="21">
        <v>2282</v>
      </c>
      <c r="J119" s="16">
        <f t="shared" si="18"/>
        <v>22</v>
      </c>
      <c r="K119" s="16">
        <f t="shared" si="19"/>
        <v>3</v>
      </c>
      <c r="L119" s="16">
        <f t="shared" si="20"/>
        <v>1</v>
      </c>
      <c r="M119" s="16">
        <f t="shared" si="21"/>
        <v>26</v>
      </c>
      <c r="N119" s="17" t="str">
        <f t="shared" si="22"/>
        <v>26.03.2282</v>
      </c>
      <c r="O119" s="32"/>
    </row>
    <row r="120" spans="9:15" x14ac:dyDescent="0.25">
      <c r="I120" s="15">
        <v>2281</v>
      </c>
      <c r="J120" s="16">
        <f t="shared" si="18"/>
        <v>22</v>
      </c>
      <c r="K120" s="16">
        <f t="shared" si="19"/>
        <v>14</v>
      </c>
      <c r="L120" s="16">
        <f t="shared" si="20"/>
        <v>5</v>
      </c>
      <c r="M120" s="16">
        <f t="shared" si="21"/>
        <v>41</v>
      </c>
      <c r="N120" s="17" t="str">
        <f t="shared" si="22"/>
        <v>10.04.2281</v>
      </c>
      <c r="O120" s="32"/>
    </row>
    <row r="121" spans="9:15" x14ac:dyDescent="0.25">
      <c r="I121" s="21">
        <v>2280</v>
      </c>
      <c r="J121" s="16">
        <f t="shared" si="18"/>
        <v>22</v>
      </c>
      <c r="K121" s="16">
        <f t="shared" si="19"/>
        <v>25</v>
      </c>
      <c r="L121" s="16">
        <f t="shared" si="20"/>
        <v>2</v>
      </c>
      <c r="M121" s="16">
        <f t="shared" si="21"/>
        <v>49</v>
      </c>
      <c r="N121" s="17" t="str">
        <f t="shared" si="22"/>
        <v>18.04.2280</v>
      </c>
      <c r="O121" s="32"/>
    </row>
    <row r="122" spans="9:15" x14ac:dyDescent="0.25">
      <c r="I122" s="15">
        <v>2279</v>
      </c>
      <c r="J122" s="16">
        <f t="shared" si="18"/>
        <v>22</v>
      </c>
      <c r="K122" s="16">
        <f t="shared" si="19"/>
        <v>7</v>
      </c>
      <c r="L122" s="16">
        <f t="shared" si="20"/>
        <v>1</v>
      </c>
      <c r="M122" s="16">
        <f t="shared" si="21"/>
        <v>30</v>
      </c>
      <c r="N122" s="17" t="str">
        <f t="shared" si="22"/>
        <v>30.03.2279</v>
      </c>
      <c r="O122" s="32"/>
    </row>
    <row r="123" spans="9:15" x14ac:dyDescent="0.25">
      <c r="I123" s="21">
        <v>2278</v>
      </c>
      <c r="J123" s="16">
        <f t="shared" si="18"/>
        <v>22</v>
      </c>
      <c r="K123" s="16">
        <f t="shared" si="19"/>
        <v>18</v>
      </c>
      <c r="L123" s="16">
        <f t="shared" si="20"/>
        <v>5</v>
      </c>
      <c r="M123" s="16">
        <f t="shared" si="21"/>
        <v>45</v>
      </c>
      <c r="N123" s="17" t="str">
        <f t="shared" si="22"/>
        <v>14.04.2278</v>
      </c>
      <c r="O123" s="32"/>
    </row>
    <row r="124" spans="9:15" x14ac:dyDescent="0.25">
      <c r="I124" s="15">
        <v>2277</v>
      </c>
      <c r="J124" s="16">
        <f t="shared" si="18"/>
        <v>22</v>
      </c>
      <c r="K124" s="16">
        <f t="shared" si="19"/>
        <v>29</v>
      </c>
      <c r="L124" s="16">
        <f t="shared" si="20"/>
        <v>2</v>
      </c>
      <c r="M124" s="16">
        <f t="shared" si="21"/>
        <v>53</v>
      </c>
      <c r="N124" s="17" t="str">
        <f t="shared" si="22"/>
        <v>22.04.2277</v>
      </c>
      <c r="O124" s="32"/>
    </row>
    <row r="125" spans="9:15" x14ac:dyDescent="0.25">
      <c r="I125" s="21">
        <v>2276</v>
      </c>
      <c r="J125" s="16">
        <f t="shared" si="18"/>
        <v>22</v>
      </c>
      <c r="K125" s="16">
        <f t="shared" si="19"/>
        <v>10</v>
      </c>
      <c r="L125" s="16">
        <f t="shared" si="20"/>
        <v>1</v>
      </c>
      <c r="M125" s="16">
        <f t="shared" si="21"/>
        <v>33</v>
      </c>
      <c r="N125" s="17" t="str">
        <f t="shared" si="22"/>
        <v>02.04.2276</v>
      </c>
      <c r="O125" s="32"/>
    </row>
    <row r="126" spans="9:15" x14ac:dyDescent="0.25">
      <c r="I126" s="15">
        <v>2275</v>
      </c>
      <c r="J126" s="16">
        <f t="shared" si="18"/>
        <v>22</v>
      </c>
      <c r="K126" s="16">
        <f t="shared" si="19"/>
        <v>21</v>
      </c>
      <c r="L126" s="16">
        <f t="shared" si="20"/>
        <v>6</v>
      </c>
      <c r="M126" s="16">
        <f t="shared" si="21"/>
        <v>49</v>
      </c>
      <c r="N126" s="17" t="str">
        <f t="shared" si="22"/>
        <v>18.04.2275</v>
      </c>
      <c r="O126" s="32"/>
    </row>
    <row r="127" spans="9:15" x14ac:dyDescent="0.25">
      <c r="I127" s="21">
        <v>2274</v>
      </c>
      <c r="J127" s="16">
        <f t="shared" si="18"/>
        <v>22</v>
      </c>
      <c r="K127" s="16">
        <f t="shared" si="19"/>
        <v>2</v>
      </c>
      <c r="L127" s="16">
        <f t="shared" si="20"/>
        <v>5</v>
      </c>
      <c r="M127" s="16">
        <f t="shared" si="21"/>
        <v>29</v>
      </c>
      <c r="N127" s="17" t="str">
        <f t="shared" si="22"/>
        <v>29.03.2274</v>
      </c>
      <c r="O127" s="32"/>
    </row>
    <row r="128" spans="9:15" x14ac:dyDescent="0.25">
      <c r="I128" s="15">
        <v>2273</v>
      </c>
      <c r="J128" s="16">
        <f t="shared" si="18"/>
        <v>22</v>
      </c>
      <c r="K128" s="16">
        <f t="shared" si="19"/>
        <v>13</v>
      </c>
      <c r="L128" s="16">
        <f t="shared" si="20"/>
        <v>2</v>
      </c>
      <c r="M128" s="16">
        <f t="shared" si="21"/>
        <v>37</v>
      </c>
      <c r="N128" s="17" t="str">
        <f t="shared" si="22"/>
        <v>06.04.2273</v>
      </c>
      <c r="O128" s="32"/>
    </row>
    <row r="129" spans="9:15" x14ac:dyDescent="0.25">
      <c r="I129" s="21">
        <v>2272</v>
      </c>
      <c r="J129" s="16">
        <f t="shared" si="18"/>
        <v>22</v>
      </c>
      <c r="K129" s="16">
        <f t="shared" si="19"/>
        <v>24</v>
      </c>
      <c r="L129" s="16">
        <f t="shared" si="20"/>
        <v>6</v>
      </c>
      <c r="M129" s="16">
        <f t="shared" si="21"/>
        <v>52</v>
      </c>
      <c r="N129" s="17" t="str">
        <f>IF(Q1="WF","W a l t e r   F r i c k e   (W F),   D e r e n d o r f",TEXT(IF(M129-31 &lt; 1,M129,M129-31),"0#")&amp;"."&amp;IF(M129 &gt; 31,"04.","03.")&amp;I129)</f>
        <v>21.04.2272</v>
      </c>
      <c r="O129" s="32"/>
    </row>
    <row r="130" spans="9:15" x14ac:dyDescent="0.25">
      <c r="I130" s="15">
        <v>2271</v>
      </c>
      <c r="J130" s="16">
        <f t="shared" si="18"/>
        <v>22</v>
      </c>
      <c r="K130" s="16">
        <f t="shared" si="19"/>
        <v>5</v>
      </c>
      <c r="L130" s="16">
        <f t="shared" si="20"/>
        <v>6</v>
      </c>
      <c r="M130" s="16">
        <f t="shared" si="21"/>
        <v>33</v>
      </c>
      <c r="N130" s="17" t="str">
        <f t="shared" si="22"/>
        <v>02.04.2271</v>
      </c>
      <c r="O130" s="32"/>
    </row>
    <row r="131" spans="9:15" x14ac:dyDescent="0.25">
      <c r="I131" s="21">
        <v>2270</v>
      </c>
      <c r="J131" s="16">
        <f t="shared" si="18"/>
        <v>22</v>
      </c>
      <c r="K131" s="16">
        <f t="shared" si="19"/>
        <v>16</v>
      </c>
      <c r="L131" s="16">
        <f t="shared" si="20"/>
        <v>3</v>
      </c>
      <c r="M131" s="16">
        <f t="shared" si="21"/>
        <v>41</v>
      </c>
      <c r="N131" s="17" t="str">
        <f t="shared" si="22"/>
        <v>10.04.2270</v>
      </c>
      <c r="O131" s="32"/>
    </row>
    <row r="132" spans="9:15" x14ac:dyDescent="0.25">
      <c r="I132" s="15">
        <v>2269</v>
      </c>
      <c r="J132" s="16">
        <f t="shared" si="18"/>
        <v>22</v>
      </c>
      <c r="K132" s="16">
        <f t="shared" si="19"/>
        <v>27</v>
      </c>
      <c r="L132" s="16">
        <f t="shared" si="20"/>
        <v>0</v>
      </c>
      <c r="M132" s="16">
        <f t="shared" si="21"/>
        <v>49</v>
      </c>
      <c r="N132" s="17" t="str">
        <f t="shared" si="22"/>
        <v>18.04.2269</v>
      </c>
      <c r="O132" s="32"/>
    </row>
    <row r="133" spans="9:15" x14ac:dyDescent="0.25">
      <c r="I133" s="21">
        <v>2268</v>
      </c>
      <c r="J133" s="16">
        <f t="shared" si="18"/>
        <v>22</v>
      </c>
      <c r="K133" s="16">
        <f t="shared" si="19"/>
        <v>8</v>
      </c>
      <c r="L133" s="16">
        <f t="shared" si="20"/>
        <v>6</v>
      </c>
      <c r="M133" s="16">
        <f t="shared" si="21"/>
        <v>36</v>
      </c>
      <c r="N133" s="17" t="str">
        <f t="shared" si="22"/>
        <v>05.04.2268</v>
      </c>
      <c r="O133" s="32"/>
    </row>
    <row r="134" spans="9:15" x14ac:dyDescent="0.25">
      <c r="I134" s="15">
        <v>2267</v>
      </c>
      <c r="J134" s="16">
        <f t="shared" si="18"/>
        <v>22</v>
      </c>
      <c r="K134" s="16">
        <f t="shared" si="19"/>
        <v>19</v>
      </c>
      <c r="L134" s="16">
        <f t="shared" si="20"/>
        <v>4</v>
      </c>
      <c r="M134" s="16">
        <f t="shared" si="21"/>
        <v>45</v>
      </c>
      <c r="N134" s="17" t="str">
        <f t="shared" si="22"/>
        <v>14.04.2267</v>
      </c>
      <c r="O134" s="32"/>
    </row>
    <row r="135" spans="9:15" x14ac:dyDescent="0.25">
      <c r="I135" s="21">
        <v>2266</v>
      </c>
      <c r="J135" s="16">
        <f t="shared" si="18"/>
        <v>22</v>
      </c>
      <c r="K135" s="16">
        <f t="shared" si="19"/>
        <v>0</v>
      </c>
      <c r="L135" s="16">
        <f t="shared" si="20"/>
        <v>3</v>
      </c>
      <c r="M135" s="16">
        <f t="shared" si="21"/>
        <v>25</v>
      </c>
      <c r="N135" s="17" t="str">
        <f t="shared" si="22"/>
        <v>25.03.2266</v>
      </c>
      <c r="O135" s="32"/>
    </row>
    <row r="136" spans="9:15" x14ac:dyDescent="0.25">
      <c r="I136" s="15">
        <v>2265</v>
      </c>
      <c r="J136" s="16">
        <f t="shared" si="18"/>
        <v>22</v>
      </c>
      <c r="K136" s="16">
        <f t="shared" si="19"/>
        <v>11</v>
      </c>
      <c r="L136" s="16">
        <f t="shared" si="20"/>
        <v>0</v>
      </c>
      <c r="M136" s="16">
        <f t="shared" si="21"/>
        <v>33</v>
      </c>
      <c r="N136" s="17" t="str">
        <f t="shared" si="22"/>
        <v>02.04.2265</v>
      </c>
      <c r="O136" s="32"/>
    </row>
    <row r="137" spans="9:15" x14ac:dyDescent="0.25">
      <c r="I137" s="21">
        <v>2264</v>
      </c>
      <c r="J137" s="16">
        <f t="shared" si="18"/>
        <v>22</v>
      </c>
      <c r="K137" s="16">
        <f t="shared" si="19"/>
        <v>22</v>
      </c>
      <c r="L137" s="16">
        <f t="shared" si="20"/>
        <v>4</v>
      </c>
      <c r="M137" s="16">
        <f t="shared" si="21"/>
        <v>48</v>
      </c>
      <c r="N137" s="17" t="str">
        <f t="shared" si="22"/>
        <v>17.04.2264</v>
      </c>
      <c r="O137" s="32"/>
    </row>
    <row r="138" spans="9:15" x14ac:dyDescent="0.25">
      <c r="I138" s="15">
        <v>2263</v>
      </c>
      <c r="J138" s="16">
        <f t="shared" si="18"/>
        <v>22</v>
      </c>
      <c r="K138" s="16">
        <f t="shared" si="19"/>
        <v>3</v>
      </c>
      <c r="L138" s="16">
        <f t="shared" si="20"/>
        <v>4</v>
      </c>
      <c r="M138" s="16">
        <f t="shared" si="21"/>
        <v>29</v>
      </c>
      <c r="N138" s="17" t="str">
        <f t="shared" si="22"/>
        <v>29.03.2263</v>
      </c>
      <c r="O138" s="32"/>
    </row>
    <row r="139" spans="9:15" x14ac:dyDescent="0.25">
      <c r="I139" s="21">
        <v>2262</v>
      </c>
      <c r="J139" s="16">
        <f t="shared" si="18"/>
        <v>22</v>
      </c>
      <c r="K139" s="16">
        <f t="shared" si="19"/>
        <v>14</v>
      </c>
      <c r="L139" s="16">
        <f t="shared" si="20"/>
        <v>1</v>
      </c>
      <c r="M139" s="16">
        <f t="shared" si="21"/>
        <v>37</v>
      </c>
      <c r="N139" s="17" t="str">
        <f t="shared" si="22"/>
        <v>06.04.2262</v>
      </c>
      <c r="O139" s="32"/>
    </row>
    <row r="140" spans="9:15" x14ac:dyDescent="0.25">
      <c r="I140" s="15">
        <v>2261</v>
      </c>
      <c r="J140" s="16">
        <f t="shared" si="18"/>
        <v>22</v>
      </c>
      <c r="K140" s="16">
        <f t="shared" si="19"/>
        <v>25</v>
      </c>
      <c r="L140" s="16">
        <f t="shared" si="20"/>
        <v>5</v>
      </c>
      <c r="M140" s="16">
        <f t="shared" si="21"/>
        <v>52</v>
      </c>
      <c r="N140" s="17" t="str">
        <f t="shared" si="22"/>
        <v>21.04.2261</v>
      </c>
      <c r="O140" s="32"/>
    </row>
    <row r="141" spans="9:15" x14ac:dyDescent="0.25">
      <c r="I141" s="21">
        <v>2260</v>
      </c>
      <c r="J141" s="16">
        <f t="shared" si="18"/>
        <v>22</v>
      </c>
      <c r="K141" s="16">
        <f t="shared" si="19"/>
        <v>7</v>
      </c>
      <c r="L141" s="16">
        <f t="shared" si="20"/>
        <v>3</v>
      </c>
      <c r="M141" s="16">
        <f t="shared" si="21"/>
        <v>32</v>
      </c>
      <c r="N141" s="17" t="str">
        <f t="shared" si="22"/>
        <v>01.04.2260</v>
      </c>
      <c r="O141" s="32"/>
    </row>
    <row r="142" spans="9:15" x14ac:dyDescent="0.25">
      <c r="I142" s="15">
        <v>2259</v>
      </c>
      <c r="J142" s="16">
        <f t="shared" si="18"/>
        <v>22</v>
      </c>
      <c r="K142" s="16">
        <f t="shared" si="19"/>
        <v>18</v>
      </c>
      <c r="L142" s="16">
        <f t="shared" si="20"/>
        <v>1</v>
      </c>
      <c r="M142" s="16">
        <f t="shared" si="21"/>
        <v>41</v>
      </c>
      <c r="N142" s="17" t="str">
        <f t="shared" si="22"/>
        <v>10.04.2259</v>
      </c>
      <c r="O142" s="32"/>
    </row>
    <row r="143" spans="9:15" x14ac:dyDescent="0.25">
      <c r="I143" s="21">
        <v>2258</v>
      </c>
      <c r="J143" s="16">
        <f t="shared" si="18"/>
        <v>22</v>
      </c>
      <c r="K143" s="16">
        <f t="shared" si="19"/>
        <v>29</v>
      </c>
      <c r="L143" s="16">
        <f t="shared" si="20"/>
        <v>5</v>
      </c>
      <c r="M143" s="16">
        <f t="shared" si="21"/>
        <v>56</v>
      </c>
      <c r="N143" s="17" t="str">
        <f t="shared" si="22"/>
        <v>25.04.2258</v>
      </c>
      <c r="O143" s="32"/>
    </row>
    <row r="144" spans="9:15" x14ac:dyDescent="0.25">
      <c r="I144" s="15">
        <v>2257</v>
      </c>
      <c r="J144" s="16">
        <f t="shared" si="18"/>
        <v>22</v>
      </c>
      <c r="K144" s="16">
        <f t="shared" si="19"/>
        <v>10</v>
      </c>
      <c r="L144" s="16">
        <f t="shared" si="20"/>
        <v>4</v>
      </c>
      <c r="M144" s="16">
        <f t="shared" si="21"/>
        <v>36</v>
      </c>
      <c r="N144" s="17" t="str">
        <f t="shared" si="22"/>
        <v>05.04.2257</v>
      </c>
      <c r="O144" s="32"/>
    </row>
    <row r="145" spans="9:15" x14ac:dyDescent="0.25">
      <c r="I145" s="21">
        <v>2256</v>
      </c>
      <c r="J145" s="16">
        <f t="shared" si="18"/>
        <v>22</v>
      </c>
      <c r="K145" s="16">
        <f t="shared" si="19"/>
        <v>21</v>
      </c>
      <c r="L145" s="16">
        <f t="shared" si="20"/>
        <v>1</v>
      </c>
      <c r="M145" s="16">
        <f t="shared" si="21"/>
        <v>44</v>
      </c>
      <c r="N145" s="17" t="str">
        <f t="shared" si="22"/>
        <v>13.04.2256</v>
      </c>
      <c r="O145" s="32"/>
    </row>
    <row r="146" spans="9:15" x14ac:dyDescent="0.25">
      <c r="I146" s="15">
        <v>2255</v>
      </c>
      <c r="J146" s="16">
        <f t="shared" si="18"/>
        <v>22</v>
      </c>
      <c r="K146" s="16">
        <f t="shared" si="19"/>
        <v>2</v>
      </c>
      <c r="L146" s="16">
        <f t="shared" si="20"/>
        <v>1</v>
      </c>
      <c r="M146" s="16">
        <f t="shared" si="21"/>
        <v>25</v>
      </c>
      <c r="N146" s="17" t="str">
        <f t="shared" si="22"/>
        <v>25.03.2255</v>
      </c>
      <c r="O146" s="32"/>
    </row>
    <row r="147" spans="9:15" x14ac:dyDescent="0.25">
      <c r="I147" s="21">
        <v>2254</v>
      </c>
      <c r="J147" s="16">
        <f t="shared" si="18"/>
        <v>22</v>
      </c>
      <c r="K147" s="16">
        <f t="shared" si="19"/>
        <v>13</v>
      </c>
      <c r="L147" s="16">
        <f t="shared" si="20"/>
        <v>5</v>
      </c>
      <c r="M147" s="16">
        <f t="shared" si="21"/>
        <v>40</v>
      </c>
      <c r="N147" s="17" t="str">
        <f t="shared" si="22"/>
        <v>09.04.2254</v>
      </c>
      <c r="O147" s="32"/>
    </row>
    <row r="148" spans="9:15" x14ac:dyDescent="0.25">
      <c r="I148" s="15">
        <v>2253</v>
      </c>
      <c r="J148" s="16">
        <f t="shared" si="18"/>
        <v>22</v>
      </c>
      <c r="K148" s="16">
        <f t="shared" si="19"/>
        <v>24</v>
      </c>
      <c r="L148" s="16">
        <f t="shared" si="20"/>
        <v>2</v>
      </c>
      <c r="M148" s="16">
        <f t="shared" si="21"/>
        <v>48</v>
      </c>
      <c r="N148" s="17" t="str">
        <f t="shared" si="22"/>
        <v>17.04.2253</v>
      </c>
      <c r="O148" s="32"/>
    </row>
    <row r="149" spans="9:15" x14ac:dyDescent="0.25">
      <c r="I149" s="21">
        <v>2252</v>
      </c>
      <c r="J149" s="16">
        <f t="shared" si="18"/>
        <v>22</v>
      </c>
      <c r="K149" s="16">
        <f t="shared" si="19"/>
        <v>5</v>
      </c>
      <c r="L149" s="16">
        <f t="shared" si="20"/>
        <v>1</v>
      </c>
      <c r="M149" s="16">
        <f t="shared" si="21"/>
        <v>28</v>
      </c>
      <c r="N149" s="17" t="str">
        <f t="shared" si="22"/>
        <v>28.03.2252</v>
      </c>
      <c r="O149" s="32"/>
    </row>
    <row r="150" spans="9:15" x14ac:dyDescent="0.25">
      <c r="I150" s="15">
        <v>2251</v>
      </c>
      <c r="J150" s="16">
        <f t="shared" si="18"/>
        <v>22</v>
      </c>
      <c r="K150" s="16">
        <f t="shared" si="19"/>
        <v>16</v>
      </c>
      <c r="L150" s="16">
        <f t="shared" si="20"/>
        <v>6</v>
      </c>
      <c r="M150" s="16">
        <f t="shared" si="21"/>
        <v>44</v>
      </c>
      <c r="N150" s="17" t="str">
        <f t="shared" si="22"/>
        <v>13.04.2251</v>
      </c>
      <c r="O150" s="32"/>
    </row>
    <row r="151" spans="9:15" x14ac:dyDescent="0.25">
      <c r="I151" s="21">
        <v>2250</v>
      </c>
      <c r="J151" s="16">
        <f t="shared" si="18"/>
        <v>22</v>
      </c>
      <c r="K151" s="16">
        <f t="shared" si="19"/>
        <v>27</v>
      </c>
      <c r="L151" s="16">
        <f t="shared" si="20"/>
        <v>3</v>
      </c>
      <c r="M151" s="16">
        <f t="shared" si="21"/>
        <v>52</v>
      </c>
      <c r="N151" s="17" t="str">
        <f t="shared" si="22"/>
        <v>21.04.2250</v>
      </c>
      <c r="O151" s="32"/>
    </row>
    <row r="152" spans="9:15" x14ac:dyDescent="0.25">
      <c r="I152" s="15">
        <v>2249</v>
      </c>
      <c r="J152" s="16">
        <f t="shared" si="18"/>
        <v>22</v>
      </c>
      <c r="K152" s="16">
        <f t="shared" si="19"/>
        <v>8</v>
      </c>
      <c r="L152" s="16">
        <f t="shared" si="20"/>
        <v>2</v>
      </c>
      <c r="M152" s="16">
        <f t="shared" si="21"/>
        <v>32</v>
      </c>
      <c r="N152" s="17" t="str">
        <f t="shared" si="22"/>
        <v>01.04.2249</v>
      </c>
      <c r="O152" s="32"/>
    </row>
    <row r="153" spans="9:15" x14ac:dyDescent="0.25">
      <c r="I153" s="21">
        <v>2248</v>
      </c>
      <c r="J153" s="16">
        <f t="shared" si="18"/>
        <v>22</v>
      </c>
      <c r="K153" s="16">
        <f t="shared" si="19"/>
        <v>19</v>
      </c>
      <c r="L153" s="16">
        <f t="shared" si="20"/>
        <v>6</v>
      </c>
      <c r="M153" s="16">
        <f t="shared" si="21"/>
        <v>47</v>
      </c>
      <c r="N153" s="17" t="str">
        <f t="shared" si="22"/>
        <v>16.04.2248</v>
      </c>
      <c r="O153" s="32"/>
    </row>
    <row r="154" spans="9:15" x14ac:dyDescent="0.25">
      <c r="I154" s="15">
        <v>2247</v>
      </c>
      <c r="J154" s="16">
        <f t="shared" si="18"/>
        <v>22</v>
      </c>
      <c r="K154" s="16">
        <f t="shared" si="19"/>
        <v>0</v>
      </c>
      <c r="L154" s="16">
        <f t="shared" si="20"/>
        <v>6</v>
      </c>
      <c r="M154" s="16">
        <f t="shared" si="21"/>
        <v>28</v>
      </c>
      <c r="N154" s="17" t="str">
        <f t="shared" si="22"/>
        <v>28.03.2247</v>
      </c>
      <c r="O154" s="32"/>
    </row>
    <row r="155" spans="9:15" x14ac:dyDescent="0.25">
      <c r="I155" s="21">
        <v>2246</v>
      </c>
      <c r="J155" s="16">
        <f t="shared" si="18"/>
        <v>22</v>
      </c>
      <c r="K155" s="16">
        <f t="shared" si="19"/>
        <v>11</v>
      </c>
      <c r="L155" s="16">
        <f t="shared" si="20"/>
        <v>3</v>
      </c>
      <c r="M155" s="16">
        <f t="shared" si="21"/>
        <v>36</v>
      </c>
      <c r="N155" s="17" t="str">
        <f t="shared" si="22"/>
        <v>05.04.2246</v>
      </c>
      <c r="O155" s="32"/>
    </row>
    <row r="156" spans="9:15" x14ac:dyDescent="0.25">
      <c r="I156" s="15">
        <v>2245</v>
      </c>
      <c r="J156" s="16">
        <f t="shared" si="18"/>
        <v>22</v>
      </c>
      <c r="K156" s="16">
        <f t="shared" si="19"/>
        <v>22</v>
      </c>
      <c r="L156" s="16">
        <f t="shared" si="20"/>
        <v>0</v>
      </c>
      <c r="M156" s="16">
        <f t="shared" si="21"/>
        <v>44</v>
      </c>
      <c r="N156" s="17" t="str">
        <f t="shared" si="22"/>
        <v>13.04.2245</v>
      </c>
      <c r="O156" s="32"/>
    </row>
    <row r="157" spans="9:15" x14ac:dyDescent="0.25">
      <c r="I157" s="21">
        <v>2244</v>
      </c>
      <c r="J157" s="16">
        <f t="shared" si="18"/>
        <v>22</v>
      </c>
      <c r="K157" s="16">
        <f t="shared" si="19"/>
        <v>3</v>
      </c>
      <c r="L157" s="16">
        <f t="shared" si="20"/>
        <v>6</v>
      </c>
      <c r="M157" s="16">
        <f t="shared" si="21"/>
        <v>31</v>
      </c>
      <c r="N157" s="17" t="str">
        <f t="shared" si="22"/>
        <v>31.03.2244</v>
      </c>
      <c r="O157" s="32"/>
    </row>
    <row r="158" spans="9:15" x14ac:dyDescent="0.25">
      <c r="I158" s="15">
        <v>2243</v>
      </c>
      <c r="J158" s="16">
        <f t="shared" si="18"/>
        <v>22</v>
      </c>
      <c r="K158" s="16">
        <f t="shared" si="19"/>
        <v>14</v>
      </c>
      <c r="L158" s="16">
        <f t="shared" si="20"/>
        <v>4</v>
      </c>
      <c r="M158" s="16">
        <f t="shared" si="21"/>
        <v>40</v>
      </c>
      <c r="N158" s="17" t="str">
        <f t="shared" si="22"/>
        <v>09.04.2243</v>
      </c>
      <c r="O158" s="32"/>
    </row>
    <row r="159" spans="9:15" x14ac:dyDescent="0.25">
      <c r="I159" s="21">
        <v>2242</v>
      </c>
      <c r="J159" s="16">
        <f t="shared" si="18"/>
        <v>22</v>
      </c>
      <c r="K159" s="16">
        <f t="shared" si="19"/>
        <v>25</v>
      </c>
      <c r="L159" s="16">
        <f t="shared" si="20"/>
        <v>1</v>
      </c>
      <c r="M159" s="16">
        <f t="shared" si="21"/>
        <v>48</v>
      </c>
      <c r="N159" s="17" t="str">
        <f t="shared" si="22"/>
        <v>17.04.2242</v>
      </c>
      <c r="O159" s="32"/>
    </row>
    <row r="160" spans="9:15" x14ac:dyDescent="0.25">
      <c r="I160" s="15">
        <v>2241</v>
      </c>
      <c r="J160" s="16">
        <f t="shared" si="18"/>
        <v>22</v>
      </c>
      <c r="K160" s="16">
        <f t="shared" si="19"/>
        <v>7</v>
      </c>
      <c r="L160" s="16">
        <f t="shared" si="20"/>
        <v>6</v>
      </c>
      <c r="M160" s="16">
        <f t="shared" si="21"/>
        <v>35</v>
      </c>
      <c r="N160" s="17" t="str">
        <f t="shared" si="22"/>
        <v>04.04.2241</v>
      </c>
      <c r="O160" s="32"/>
    </row>
    <row r="161" spans="9:15" x14ac:dyDescent="0.25">
      <c r="I161" s="21">
        <v>2240</v>
      </c>
      <c r="J161" s="16">
        <f t="shared" si="18"/>
        <v>22</v>
      </c>
      <c r="K161" s="16">
        <f t="shared" si="19"/>
        <v>18</v>
      </c>
      <c r="L161" s="16">
        <f t="shared" si="20"/>
        <v>3</v>
      </c>
      <c r="M161" s="16">
        <f t="shared" si="21"/>
        <v>43</v>
      </c>
      <c r="N161" s="17" t="str">
        <f t="shared" si="22"/>
        <v>12.04.2240</v>
      </c>
      <c r="O161" s="32"/>
    </row>
    <row r="162" spans="9:15" x14ac:dyDescent="0.25">
      <c r="I162" s="15">
        <v>2239</v>
      </c>
      <c r="J162" s="16">
        <f t="shared" si="18"/>
        <v>22</v>
      </c>
      <c r="K162" s="16">
        <f t="shared" si="19"/>
        <v>29</v>
      </c>
      <c r="L162" s="16">
        <f t="shared" si="20"/>
        <v>1</v>
      </c>
      <c r="M162" s="16">
        <f t="shared" si="21"/>
        <v>52</v>
      </c>
      <c r="N162" s="17" t="str">
        <f t="shared" si="22"/>
        <v>21.04.2239</v>
      </c>
      <c r="O162" s="32"/>
    </row>
    <row r="163" spans="9:15" x14ac:dyDescent="0.25">
      <c r="I163" s="21">
        <v>2238</v>
      </c>
      <c r="J163" s="16">
        <f t="shared" si="18"/>
        <v>22</v>
      </c>
      <c r="K163" s="16">
        <f t="shared" si="19"/>
        <v>10</v>
      </c>
      <c r="L163" s="16">
        <f t="shared" si="20"/>
        <v>0</v>
      </c>
      <c r="M163" s="16">
        <f t="shared" si="21"/>
        <v>32</v>
      </c>
      <c r="N163" s="17" t="str">
        <f t="shared" si="22"/>
        <v>01.04.2238</v>
      </c>
      <c r="O163" s="32"/>
    </row>
    <row r="164" spans="9:15" x14ac:dyDescent="0.25">
      <c r="I164" s="15">
        <v>2237</v>
      </c>
      <c r="J164" s="16">
        <f t="shared" si="18"/>
        <v>22</v>
      </c>
      <c r="K164" s="16">
        <f t="shared" si="19"/>
        <v>21</v>
      </c>
      <c r="L164" s="16">
        <f t="shared" si="20"/>
        <v>4</v>
      </c>
      <c r="M164" s="16">
        <f t="shared" si="21"/>
        <v>47</v>
      </c>
      <c r="N164" s="17" t="str">
        <f t="shared" si="22"/>
        <v>16.04.2237</v>
      </c>
      <c r="O164" s="32"/>
    </row>
    <row r="165" spans="9:15" x14ac:dyDescent="0.25">
      <c r="I165" s="21">
        <v>2236</v>
      </c>
      <c r="J165" s="16">
        <f t="shared" si="18"/>
        <v>22</v>
      </c>
      <c r="K165" s="16">
        <f t="shared" si="19"/>
        <v>2</v>
      </c>
      <c r="L165" s="16">
        <f t="shared" si="20"/>
        <v>3</v>
      </c>
      <c r="M165" s="16">
        <f t="shared" si="21"/>
        <v>27</v>
      </c>
      <c r="N165" s="17" t="str">
        <f t="shared" si="22"/>
        <v>27.03.2236</v>
      </c>
      <c r="O165" s="32"/>
    </row>
    <row r="166" spans="9:15" x14ac:dyDescent="0.25">
      <c r="I166" s="15">
        <v>2235</v>
      </c>
      <c r="J166" s="16">
        <f t="shared" ref="J166:J229" si="23">INT(I166/100)</f>
        <v>22</v>
      </c>
      <c r="K166" s="16">
        <f t="shared" ref="K166:K229" si="24">MOD(19*MOD(I166,19)+J166-INT(J166/4)-INT((J166-INT((J166+8)/25)+1)/3)+15,30)</f>
        <v>13</v>
      </c>
      <c r="L166" s="16">
        <f t="shared" ref="L166:L229" si="25">MOD(32+2*MOD(J166,4)+2*INT(MOD(I166,100)/4)-K166-MOD(MOD(I166,100),4),7)</f>
        <v>1</v>
      </c>
      <c r="M166" s="16">
        <f t="shared" ref="M166:M229" si="26">K166+L166-7*INT((MOD(I166,19)+11*K166+22*L166)/451)+22</f>
        <v>36</v>
      </c>
      <c r="N166" s="17" t="str">
        <f t="shared" ref="N166:N229" si="27">TEXT(IF(M166-31 &lt; 1,M166,M166-31),"0#")&amp;"."&amp;IF(M166 &gt; 31,"04.","03.")&amp;I166</f>
        <v>05.04.2235</v>
      </c>
      <c r="O166" s="32"/>
    </row>
    <row r="167" spans="9:15" x14ac:dyDescent="0.25">
      <c r="I167" s="21">
        <v>2234</v>
      </c>
      <c r="J167" s="16">
        <f t="shared" si="23"/>
        <v>22</v>
      </c>
      <c r="K167" s="16">
        <f t="shared" si="24"/>
        <v>24</v>
      </c>
      <c r="L167" s="16">
        <f t="shared" si="25"/>
        <v>5</v>
      </c>
      <c r="M167" s="16">
        <f t="shared" si="26"/>
        <v>51</v>
      </c>
      <c r="N167" s="17" t="str">
        <f t="shared" si="27"/>
        <v>20.04.2234</v>
      </c>
      <c r="O167" s="32"/>
    </row>
    <row r="168" spans="9:15" x14ac:dyDescent="0.25">
      <c r="I168" s="15">
        <v>2233</v>
      </c>
      <c r="J168" s="16">
        <f t="shared" si="23"/>
        <v>22</v>
      </c>
      <c r="K168" s="16">
        <f t="shared" si="24"/>
        <v>5</v>
      </c>
      <c r="L168" s="16">
        <f t="shared" si="25"/>
        <v>4</v>
      </c>
      <c r="M168" s="16">
        <f t="shared" si="26"/>
        <v>31</v>
      </c>
      <c r="N168" s="17" t="str">
        <f t="shared" si="27"/>
        <v>31.03.2233</v>
      </c>
      <c r="O168" s="32"/>
    </row>
    <row r="169" spans="9:15" x14ac:dyDescent="0.25">
      <c r="I169" s="21">
        <v>2232</v>
      </c>
      <c r="J169" s="16">
        <f t="shared" si="23"/>
        <v>22</v>
      </c>
      <c r="K169" s="16">
        <f t="shared" si="24"/>
        <v>16</v>
      </c>
      <c r="L169" s="16">
        <f t="shared" si="25"/>
        <v>1</v>
      </c>
      <c r="M169" s="16">
        <f t="shared" si="26"/>
        <v>39</v>
      </c>
      <c r="N169" s="17" t="str">
        <f t="shared" si="27"/>
        <v>08.04.2232</v>
      </c>
      <c r="O169" s="32"/>
    </row>
    <row r="170" spans="9:15" x14ac:dyDescent="0.25">
      <c r="I170" s="15">
        <v>2231</v>
      </c>
      <c r="J170" s="16">
        <f t="shared" si="23"/>
        <v>22</v>
      </c>
      <c r="K170" s="16">
        <f t="shared" si="24"/>
        <v>27</v>
      </c>
      <c r="L170" s="16">
        <f t="shared" si="25"/>
        <v>6</v>
      </c>
      <c r="M170" s="16">
        <f t="shared" si="26"/>
        <v>55</v>
      </c>
      <c r="N170" s="17" t="str">
        <f t="shared" si="27"/>
        <v>24.04.2231</v>
      </c>
      <c r="O170" s="32"/>
    </row>
    <row r="171" spans="9:15" x14ac:dyDescent="0.25">
      <c r="I171" s="21">
        <v>2230</v>
      </c>
      <c r="J171" s="16">
        <f t="shared" si="23"/>
        <v>22</v>
      </c>
      <c r="K171" s="16">
        <f t="shared" si="24"/>
        <v>8</v>
      </c>
      <c r="L171" s="16">
        <f t="shared" si="25"/>
        <v>5</v>
      </c>
      <c r="M171" s="16">
        <f t="shared" si="26"/>
        <v>35</v>
      </c>
      <c r="N171" s="17" t="str">
        <f t="shared" si="27"/>
        <v>04.04.2230</v>
      </c>
      <c r="O171" s="32"/>
    </row>
    <row r="172" spans="9:15" x14ac:dyDescent="0.25">
      <c r="I172" s="15">
        <v>2229</v>
      </c>
      <c r="J172" s="16">
        <f t="shared" si="23"/>
        <v>22</v>
      </c>
      <c r="K172" s="16">
        <f t="shared" si="24"/>
        <v>19</v>
      </c>
      <c r="L172" s="16">
        <f t="shared" si="25"/>
        <v>2</v>
      </c>
      <c r="M172" s="16">
        <f t="shared" si="26"/>
        <v>43</v>
      </c>
      <c r="N172" s="17" t="str">
        <f t="shared" si="27"/>
        <v>12.04.2229</v>
      </c>
      <c r="O172" s="32"/>
    </row>
    <row r="173" spans="9:15" x14ac:dyDescent="0.25">
      <c r="I173" s="21">
        <v>2228</v>
      </c>
      <c r="J173" s="16">
        <f t="shared" si="23"/>
        <v>22</v>
      </c>
      <c r="K173" s="16">
        <f t="shared" si="24"/>
        <v>0</v>
      </c>
      <c r="L173" s="16">
        <f t="shared" si="25"/>
        <v>1</v>
      </c>
      <c r="M173" s="16">
        <f t="shared" si="26"/>
        <v>23</v>
      </c>
      <c r="N173" s="17" t="str">
        <f t="shared" si="27"/>
        <v>23.03.2228</v>
      </c>
      <c r="O173" s="32"/>
    </row>
    <row r="174" spans="9:15" x14ac:dyDescent="0.25">
      <c r="I174" s="15">
        <v>2227</v>
      </c>
      <c r="J174" s="16">
        <f t="shared" si="23"/>
        <v>22</v>
      </c>
      <c r="K174" s="16">
        <f t="shared" si="24"/>
        <v>11</v>
      </c>
      <c r="L174" s="16">
        <f t="shared" si="25"/>
        <v>6</v>
      </c>
      <c r="M174" s="16">
        <f t="shared" si="26"/>
        <v>39</v>
      </c>
      <c r="N174" s="17" t="str">
        <f t="shared" si="27"/>
        <v>08.04.2227</v>
      </c>
      <c r="O174" s="32"/>
    </row>
    <row r="175" spans="9:15" x14ac:dyDescent="0.25">
      <c r="I175" s="21">
        <v>2226</v>
      </c>
      <c r="J175" s="16">
        <f t="shared" si="23"/>
        <v>22</v>
      </c>
      <c r="K175" s="16">
        <f t="shared" si="24"/>
        <v>22</v>
      </c>
      <c r="L175" s="16">
        <f t="shared" si="25"/>
        <v>3</v>
      </c>
      <c r="M175" s="16">
        <f t="shared" si="26"/>
        <v>47</v>
      </c>
      <c r="N175" s="17" t="str">
        <f t="shared" si="27"/>
        <v>16.04.2226</v>
      </c>
      <c r="O175" s="32"/>
    </row>
    <row r="176" spans="9:15" x14ac:dyDescent="0.25">
      <c r="I176" s="15">
        <v>2225</v>
      </c>
      <c r="J176" s="16">
        <f t="shared" si="23"/>
        <v>22</v>
      </c>
      <c r="K176" s="16">
        <f t="shared" si="24"/>
        <v>3</v>
      </c>
      <c r="L176" s="16">
        <f t="shared" si="25"/>
        <v>2</v>
      </c>
      <c r="M176" s="16">
        <f t="shared" si="26"/>
        <v>27</v>
      </c>
      <c r="N176" s="17" t="str">
        <f t="shared" si="27"/>
        <v>27.03.2225</v>
      </c>
      <c r="O176" s="32"/>
    </row>
    <row r="177" spans="9:15" x14ac:dyDescent="0.25">
      <c r="I177" s="21">
        <v>2224</v>
      </c>
      <c r="J177" s="16">
        <f t="shared" si="23"/>
        <v>22</v>
      </c>
      <c r="K177" s="16">
        <f t="shared" si="24"/>
        <v>14</v>
      </c>
      <c r="L177" s="16">
        <f t="shared" si="25"/>
        <v>6</v>
      </c>
      <c r="M177" s="16">
        <f t="shared" si="26"/>
        <v>42</v>
      </c>
      <c r="N177" s="17" t="str">
        <f t="shared" si="27"/>
        <v>11.04.2224</v>
      </c>
      <c r="O177" s="32"/>
    </row>
    <row r="178" spans="9:15" x14ac:dyDescent="0.25">
      <c r="I178" s="15">
        <v>2223</v>
      </c>
      <c r="J178" s="16">
        <f t="shared" si="23"/>
        <v>22</v>
      </c>
      <c r="K178" s="16">
        <f t="shared" si="24"/>
        <v>25</v>
      </c>
      <c r="L178" s="16">
        <f t="shared" si="25"/>
        <v>4</v>
      </c>
      <c r="M178" s="16">
        <f t="shared" si="26"/>
        <v>51</v>
      </c>
      <c r="N178" s="17" t="str">
        <f t="shared" si="27"/>
        <v>20.04.2223</v>
      </c>
      <c r="O178" s="32"/>
    </row>
    <row r="179" spans="9:15" x14ac:dyDescent="0.25">
      <c r="I179" s="21">
        <v>2222</v>
      </c>
      <c r="J179" s="16">
        <f t="shared" si="23"/>
        <v>22</v>
      </c>
      <c r="K179" s="16">
        <f t="shared" si="24"/>
        <v>7</v>
      </c>
      <c r="L179" s="16">
        <f t="shared" si="25"/>
        <v>2</v>
      </c>
      <c r="M179" s="16">
        <f t="shared" si="26"/>
        <v>31</v>
      </c>
      <c r="N179" s="17" t="str">
        <f t="shared" si="27"/>
        <v>31.03.2222</v>
      </c>
      <c r="O179" s="32"/>
    </row>
    <row r="180" spans="9:15" x14ac:dyDescent="0.25">
      <c r="I180" s="15">
        <v>2221</v>
      </c>
      <c r="J180" s="16">
        <f t="shared" si="23"/>
        <v>22</v>
      </c>
      <c r="K180" s="16">
        <f t="shared" si="24"/>
        <v>18</v>
      </c>
      <c r="L180" s="16">
        <f t="shared" si="25"/>
        <v>6</v>
      </c>
      <c r="M180" s="16">
        <f t="shared" si="26"/>
        <v>46</v>
      </c>
      <c r="N180" s="17" t="str">
        <f t="shared" si="27"/>
        <v>15.04.2221</v>
      </c>
      <c r="O180" s="32"/>
    </row>
    <row r="181" spans="9:15" x14ac:dyDescent="0.25">
      <c r="I181" s="21">
        <v>2220</v>
      </c>
      <c r="J181" s="16">
        <f t="shared" si="23"/>
        <v>22</v>
      </c>
      <c r="K181" s="16">
        <f t="shared" si="24"/>
        <v>29</v>
      </c>
      <c r="L181" s="16">
        <f t="shared" si="25"/>
        <v>3</v>
      </c>
      <c r="M181" s="16">
        <f t="shared" si="26"/>
        <v>54</v>
      </c>
      <c r="N181" s="17" t="str">
        <f t="shared" si="27"/>
        <v>23.04.2220</v>
      </c>
      <c r="O181" s="32"/>
    </row>
    <row r="182" spans="9:15" x14ac:dyDescent="0.25">
      <c r="I182" s="15">
        <v>2219</v>
      </c>
      <c r="J182" s="16">
        <f t="shared" si="23"/>
        <v>22</v>
      </c>
      <c r="K182" s="16">
        <f t="shared" si="24"/>
        <v>10</v>
      </c>
      <c r="L182" s="16">
        <f t="shared" si="25"/>
        <v>3</v>
      </c>
      <c r="M182" s="16">
        <f t="shared" si="26"/>
        <v>35</v>
      </c>
      <c r="N182" s="17" t="str">
        <f t="shared" si="27"/>
        <v>04.04.2219</v>
      </c>
      <c r="O182" s="32"/>
    </row>
    <row r="183" spans="9:15" x14ac:dyDescent="0.25">
      <c r="I183" s="21">
        <v>2218</v>
      </c>
      <c r="J183" s="16">
        <f t="shared" si="23"/>
        <v>22</v>
      </c>
      <c r="K183" s="16">
        <f t="shared" si="24"/>
        <v>21</v>
      </c>
      <c r="L183" s="16">
        <f t="shared" si="25"/>
        <v>0</v>
      </c>
      <c r="M183" s="16">
        <f t="shared" si="26"/>
        <v>43</v>
      </c>
      <c r="N183" s="17" t="str">
        <f t="shared" si="27"/>
        <v>12.04.2218</v>
      </c>
      <c r="O183" s="32"/>
    </row>
    <row r="184" spans="9:15" x14ac:dyDescent="0.25">
      <c r="I184" s="15">
        <v>2217</v>
      </c>
      <c r="J184" s="16">
        <f t="shared" si="23"/>
        <v>22</v>
      </c>
      <c r="K184" s="16">
        <f t="shared" si="24"/>
        <v>2</v>
      </c>
      <c r="L184" s="16">
        <f t="shared" si="25"/>
        <v>6</v>
      </c>
      <c r="M184" s="16">
        <f t="shared" si="26"/>
        <v>30</v>
      </c>
      <c r="N184" s="17" t="str">
        <f t="shared" si="27"/>
        <v>30.03.2217</v>
      </c>
      <c r="O184" s="32"/>
    </row>
    <row r="185" spans="9:15" x14ac:dyDescent="0.25">
      <c r="I185" s="21">
        <v>2216</v>
      </c>
      <c r="J185" s="16">
        <f t="shared" si="23"/>
        <v>22</v>
      </c>
      <c r="K185" s="16">
        <f t="shared" si="24"/>
        <v>13</v>
      </c>
      <c r="L185" s="16">
        <f t="shared" si="25"/>
        <v>3</v>
      </c>
      <c r="M185" s="16">
        <f t="shared" si="26"/>
        <v>38</v>
      </c>
      <c r="N185" s="17" t="str">
        <f t="shared" si="27"/>
        <v>07.04.2216</v>
      </c>
      <c r="O185" s="32"/>
    </row>
    <row r="186" spans="9:15" x14ac:dyDescent="0.25">
      <c r="I186" s="15">
        <v>2215</v>
      </c>
      <c r="J186" s="16">
        <f t="shared" si="23"/>
        <v>22</v>
      </c>
      <c r="K186" s="16">
        <f t="shared" si="24"/>
        <v>24</v>
      </c>
      <c r="L186" s="16">
        <f t="shared" si="25"/>
        <v>1</v>
      </c>
      <c r="M186" s="16">
        <f t="shared" si="26"/>
        <v>47</v>
      </c>
      <c r="N186" s="17" t="str">
        <f t="shared" si="27"/>
        <v>16.04.2215</v>
      </c>
      <c r="O186" s="32"/>
    </row>
    <row r="187" spans="9:15" x14ac:dyDescent="0.25">
      <c r="I187" s="21">
        <v>2214</v>
      </c>
      <c r="J187" s="16">
        <f t="shared" si="23"/>
        <v>22</v>
      </c>
      <c r="K187" s="16">
        <f t="shared" si="24"/>
        <v>5</v>
      </c>
      <c r="L187" s="16">
        <f t="shared" si="25"/>
        <v>0</v>
      </c>
      <c r="M187" s="16">
        <f t="shared" si="26"/>
        <v>27</v>
      </c>
      <c r="N187" s="17" t="str">
        <f t="shared" si="27"/>
        <v>27.03.2214</v>
      </c>
      <c r="O187" s="32"/>
    </row>
    <row r="188" spans="9:15" x14ac:dyDescent="0.25">
      <c r="I188" s="15">
        <v>2213</v>
      </c>
      <c r="J188" s="16">
        <f t="shared" si="23"/>
        <v>22</v>
      </c>
      <c r="K188" s="16">
        <f t="shared" si="24"/>
        <v>16</v>
      </c>
      <c r="L188" s="16">
        <f t="shared" si="25"/>
        <v>4</v>
      </c>
      <c r="M188" s="16">
        <f t="shared" si="26"/>
        <v>42</v>
      </c>
      <c r="N188" s="17" t="str">
        <f t="shared" si="27"/>
        <v>11.04.2213</v>
      </c>
      <c r="O188" s="32"/>
    </row>
    <row r="189" spans="9:15" x14ac:dyDescent="0.25">
      <c r="I189" s="21">
        <v>2212</v>
      </c>
      <c r="J189" s="16">
        <f t="shared" si="23"/>
        <v>22</v>
      </c>
      <c r="K189" s="16">
        <f t="shared" si="24"/>
        <v>27</v>
      </c>
      <c r="L189" s="16">
        <f t="shared" si="25"/>
        <v>1</v>
      </c>
      <c r="M189" s="16">
        <f t="shared" si="26"/>
        <v>50</v>
      </c>
      <c r="N189" s="17" t="str">
        <f t="shared" si="27"/>
        <v>19.04.2212</v>
      </c>
      <c r="O189" s="32"/>
    </row>
    <row r="190" spans="9:15" x14ac:dyDescent="0.25">
      <c r="I190" s="15">
        <v>2211</v>
      </c>
      <c r="J190" s="16">
        <f t="shared" si="23"/>
        <v>22</v>
      </c>
      <c r="K190" s="16">
        <f t="shared" si="24"/>
        <v>8</v>
      </c>
      <c r="L190" s="16">
        <f t="shared" si="25"/>
        <v>1</v>
      </c>
      <c r="M190" s="16">
        <f t="shared" si="26"/>
        <v>31</v>
      </c>
      <c r="N190" s="17" t="str">
        <f t="shared" si="27"/>
        <v>31.03.2211</v>
      </c>
      <c r="O190" s="32"/>
    </row>
    <row r="191" spans="9:15" x14ac:dyDescent="0.25">
      <c r="I191" s="21">
        <v>2210</v>
      </c>
      <c r="J191" s="16">
        <f t="shared" si="23"/>
        <v>22</v>
      </c>
      <c r="K191" s="16">
        <f t="shared" si="24"/>
        <v>19</v>
      </c>
      <c r="L191" s="16">
        <f t="shared" si="25"/>
        <v>5</v>
      </c>
      <c r="M191" s="16">
        <f t="shared" si="26"/>
        <v>46</v>
      </c>
      <c r="N191" s="17" t="str">
        <f t="shared" si="27"/>
        <v>15.04.2210</v>
      </c>
      <c r="O191" s="32"/>
    </row>
    <row r="192" spans="9:15" x14ac:dyDescent="0.25">
      <c r="I192" s="15">
        <v>2209</v>
      </c>
      <c r="J192" s="16">
        <f t="shared" si="23"/>
        <v>22</v>
      </c>
      <c r="K192" s="16">
        <f t="shared" si="24"/>
        <v>0</v>
      </c>
      <c r="L192" s="16">
        <f t="shared" si="25"/>
        <v>4</v>
      </c>
      <c r="M192" s="16">
        <f t="shared" si="26"/>
        <v>26</v>
      </c>
      <c r="N192" s="17" t="str">
        <f t="shared" si="27"/>
        <v>26.03.2209</v>
      </c>
      <c r="O192" s="32"/>
    </row>
    <row r="193" spans="9:15" x14ac:dyDescent="0.25">
      <c r="I193" s="21">
        <v>2208</v>
      </c>
      <c r="J193" s="16">
        <f t="shared" si="23"/>
        <v>22</v>
      </c>
      <c r="K193" s="16">
        <f t="shared" si="24"/>
        <v>11</v>
      </c>
      <c r="L193" s="16">
        <f t="shared" si="25"/>
        <v>1</v>
      </c>
      <c r="M193" s="16">
        <f t="shared" si="26"/>
        <v>34</v>
      </c>
      <c r="N193" s="17" t="str">
        <f t="shared" si="27"/>
        <v>03.04.2208</v>
      </c>
      <c r="O193" s="32"/>
    </row>
    <row r="194" spans="9:15" x14ac:dyDescent="0.25">
      <c r="I194" s="15">
        <v>2207</v>
      </c>
      <c r="J194" s="16">
        <f t="shared" si="23"/>
        <v>22</v>
      </c>
      <c r="K194" s="16">
        <f t="shared" si="24"/>
        <v>22</v>
      </c>
      <c r="L194" s="16">
        <f t="shared" si="25"/>
        <v>6</v>
      </c>
      <c r="M194" s="16">
        <f t="shared" si="26"/>
        <v>50</v>
      </c>
      <c r="N194" s="17" t="str">
        <f t="shared" si="27"/>
        <v>19.04.2207</v>
      </c>
      <c r="O194" s="32"/>
    </row>
    <row r="195" spans="9:15" x14ac:dyDescent="0.25">
      <c r="I195" s="21">
        <v>2206</v>
      </c>
      <c r="J195" s="16">
        <f t="shared" si="23"/>
        <v>22</v>
      </c>
      <c r="K195" s="16">
        <f t="shared" si="24"/>
        <v>3</v>
      </c>
      <c r="L195" s="16">
        <f t="shared" si="25"/>
        <v>5</v>
      </c>
      <c r="M195" s="16">
        <f t="shared" si="26"/>
        <v>30</v>
      </c>
      <c r="N195" s="17" t="str">
        <f t="shared" si="27"/>
        <v>30.03.2206</v>
      </c>
      <c r="O195" s="32"/>
    </row>
    <row r="196" spans="9:15" x14ac:dyDescent="0.25">
      <c r="I196" s="15">
        <v>2205</v>
      </c>
      <c r="J196" s="16">
        <f t="shared" si="23"/>
        <v>22</v>
      </c>
      <c r="K196" s="16">
        <f t="shared" si="24"/>
        <v>14</v>
      </c>
      <c r="L196" s="16">
        <f t="shared" si="25"/>
        <v>2</v>
      </c>
      <c r="M196" s="16">
        <f t="shared" si="26"/>
        <v>38</v>
      </c>
      <c r="N196" s="17" t="str">
        <f t="shared" si="27"/>
        <v>07.04.2205</v>
      </c>
      <c r="O196" s="32"/>
    </row>
    <row r="197" spans="9:15" x14ac:dyDescent="0.25">
      <c r="I197" s="21">
        <v>2204</v>
      </c>
      <c r="J197" s="16">
        <f t="shared" si="23"/>
        <v>22</v>
      </c>
      <c r="K197" s="16">
        <f t="shared" si="24"/>
        <v>25</v>
      </c>
      <c r="L197" s="16">
        <f t="shared" si="25"/>
        <v>6</v>
      </c>
      <c r="M197" s="16">
        <f t="shared" si="26"/>
        <v>53</v>
      </c>
      <c r="N197" s="17" t="str">
        <f t="shared" si="27"/>
        <v>22.04.2204</v>
      </c>
      <c r="O197" s="32"/>
    </row>
    <row r="198" spans="9:15" x14ac:dyDescent="0.25">
      <c r="I198" s="15">
        <v>2203</v>
      </c>
      <c r="J198" s="16">
        <f t="shared" si="23"/>
        <v>22</v>
      </c>
      <c r="K198" s="16">
        <f t="shared" si="24"/>
        <v>7</v>
      </c>
      <c r="L198" s="16">
        <f t="shared" si="25"/>
        <v>5</v>
      </c>
      <c r="M198" s="16">
        <f t="shared" si="26"/>
        <v>34</v>
      </c>
      <c r="N198" s="17" t="str">
        <f t="shared" si="27"/>
        <v>03.04.2203</v>
      </c>
      <c r="O198" s="32"/>
    </row>
    <row r="199" spans="9:15" x14ac:dyDescent="0.25">
      <c r="I199" s="21">
        <v>2202</v>
      </c>
      <c r="J199" s="16">
        <f t="shared" si="23"/>
        <v>22</v>
      </c>
      <c r="K199" s="16">
        <f t="shared" si="24"/>
        <v>18</v>
      </c>
      <c r="L199" s="16">
        <f t="shared" si="25"/>
        <v>2</v>
      </c>
      <c r="M199" s="16">
        <f t="shared" si="26"/>
        <v>42</v>
      </c>
      <c r="N199" s="17" t="str">
        <f t="shared" si="27"/>
        <v>11.04.2202</v>
      </c>
      <c r="O199" s="32"/>
    </row>
    <row r="200" spans="9:15" x14ac:dyDescent="0.25">
      <c r="I200" s="15">
        <v>2201</v>
      </c>
      <c r="J200" s="16">
        <f t="shared" si="23"/>
        <v>22</v>
      </c>
      <c r="K200" s="16">
        <f t="shared" si="24"/>
        <v>29</v>
      </c>
      <c r="L200" s="16">
        <f t="shared" si="25"/>
        <v>6</v>
      </c>
      <c r="M200" s="16">
        <f t="shared" si="26"/>
        <v>50</v>
      </c>
      <c r="N200" s="17" t="str">
        <f t="shared" si="27"/>
        <v>19.04.2201</v>
      </c>
      <c r="O200" s="32"/>
    </row>
    <row r="201" spans="9:15" x14ac:dyDescent="0.25">
      <c r="I201" s="21">
        <v>2200</v>
      </c>
      <c r="J201" s="16">
        <f t="shared" si="23"/>
        <v>22</v>
      </c>
      <c r="K201" s="16">
        <f t="shared" si="24"/>
        <v>10</v>
      </c>
      <c r="L201" s="16">
        <f t="shared" si="25"/>
        <v>5</v>
      </c>
      <c r="M201" s="16">
        <f t="shared" si="26"/>
        <v>37</v>
      </c>
      <c r="N201" s="17" t="str">
        <f t="shared" si="27"/>
        <v>06.04.2200</v>
      </c>
      <c r="O201" s="32"/>
    </row>
    <row r="202" spans="9:15" x14ac:dyDescent="0.25">
      <c r="I202" s="15">
        <v>2199</v>
      </c>
      <c r="J202" s="16">
        <f t="shared" si="23"/>
        <v>21</v>
      </c>
      <c r="K202" s="16">
        <f t="shared" si="24"/>
        <v>20</v>
      </c>
      <c r="L202" s="16">
        <f t="shared" si="25"/>
        <v>3</v>
      </c>
      <c r="M202" s="16">
        <f t="shared" si="26"/>
        <v>45</v>
      </c>
      <c r="N202" s="17" t="str">
        <f t="shared" si="27"/>
        <v>14.04.2199</v>
      </c>
      <c r="O202" s="32"/>
    </row>
    <row r="203" spans="9:15" x14ac:dyDescent="0.25">
      <c r="I203" s="21">
        <v>2198</v>
      </c>
      <c r="J203" s="16">
        <f t="shared" si="23"/>
        <v>21</v>
      </c>
      <c r="K203" s="16">
        <f t="shared" si="24"/>
        <v>1</v>
      </c>
      <c r="L203" s="16">
        <f t="shared" si="25"/>
        <v>2</v>
      </c>
      <c r="M203" s="16">
        <f t="shared" si="26"/>
        <v>25</v>
      </c>
      <c r="N203" s="17" t="str">
        <f t="shared" si="27"/>
        <v>25.03.2198</v>
      </c>
      <c r="O203" s="32"/>
    </row>
    <row r="204" spans="9:15" x14ac:dyDescent="0.25">
      <c r="I204" s="15">
        <v>2197</v>
      </c>
      <c r="J204" s="16">
        <f t="shared" si="23"/>
        <v>21</v>
      </c>
      <c r="K204" s="16">
        <f t="shared" si="24"/>
        <v>12</v>
      </c>
      <c r="L204" s="16">
        <f t="shared" si="25"/>
        <v>6</v>
      </c>
      <c r="M204" s="16">
        <f t="shared" si="26"/>
        <v>40</v>
      </c>
      <c r="N204" s="17" t="str">
        <f t="shared" si="27"/>
        <v>09.04.2197</v>
      </c>
      <c r="O204" s="32"/>
    </row>
    <row r="205" spans="9:15" x14ac:dyDescent="0.25">
      <c r="I205" s="21">
        <v>2196</v>
      </c>
      <c r="J205" s="16">
        <f t="shared" si="23"/>
        <v>21</v>
      </c>
      <c r="K205" s="16">
        <f t="shared" si="24"/>
        <v>23</v>
      </c>
      <c r="L205" s="16">
        <f t="shared" si="25"/>
        <v>3</v>
      </c>
      <c r="M205" s="16">
        <f t="shared" si="26"/>
        <v>48</v>
      </c>
      <c r="N205" s="17" t="str">
        <f t="shared" si="27"/>
        <v>17.04.2196</v>
      </c>
      <c r="O205" s="32"/>
    </row>
    <row r="206" spans="9:15" x14ac:dyDescent="0.25">
      <c r="I206" s="15">
        <v>2195</v>
      </c>
      <c r="J206" s="16">
        <f t="shared" si="23"/>
        <v>21</v>
      </c>
      <c r="K206" s="16">
        <f t="shared" si="24"/>
        <v>4</v>
      </c>
      <c r="L206" s="16">
        <f t="shared" si="25"/>
        <v>3</v>
      </c>
      <c r="M206" s="16">
        <f t="shared" si="26"/>
        <v>29</v>
      </c>
      <c r="N206" s="17" t="str">
        <f t="shared" si="27"/>
        <v>29.03.2195</v>
      </c>
      <c r="O206" s="32"/>
    </row>
    <row r="207" spans="9:15" x14ac:dyDescent="0.25">
      <c r="I207" s="21">
        <v>2194</v>
      </c>
      <c r="J207" s="16">
        <f t="shared" si="23"/>
        <v>21</v>
      </c>
      <c r="K207" s="16">
        <f t="shared" si="24"/>
        <v>15</v>
      </c>
      <c r="L207" s="16">
        <f t="shared" si="25"/>
        <v>0</v>
      </c>
      <c r="M207" s="16">
        <f t="shared" si="26"/>
        <v>37</v>
      </c>
      <c r="N207" s="17" t="str">
        <f t="shared" si="27"/>
        <v>06.04.2194</v>
      </c>
      <c r="O207" s="32"/>
    </row>
    <row r="208" spans="9:15" x14ac:dyDescent="0.25">
      <c r="I208" s="15">
        <v>2193</v>
      </c>
      <c r="J208" s="16">
        <f t="shared" si="23"/>
        <v>21</v>
      </c>
      <c r="K208" s="16">
        <f t="shared" si="24"/>
        <v>26</v>
      </c>
      <c r="L208" s="16">
        <f t="shared" si="25"/>
        <v>4</v>
      </c>
      <c r="M208" s="16">
        <f t="shared" si="26"/>
        <v>52</v>
      </c>
      <c r="N208" s="17" t="str">
        <f t="shared" si="27"/>
        <v>21.04.2193</v>
      </c>
      <c r="O208" s="32"/>
    </row>
    <row r="209" spans="9:15" x14ac:dyDescent="0.25">
      <c r="I209" s="21">
        <v>2192</v>
      </c>
      <c r="J209" s="16">
        <f t="shared" si="23"/>
        <v>21</v>
      </c>
      <c r="K209" s="16">
        <f t="shared" si="24"/>
        <v>7</v>
      </c>
      <c r="L209" s="16">
        <f t="shared" si="25"/>
        <v>3</v>
      </c>
      <c r="M209" s="16">
        <f t="shared" si="26"/>
        <v>32</v>
      </c>
      <c r="N209" s="17" t="str">
        <f t="shared" si="27"/>
        <v>01.04.2192</v>
      </c>
      <c r="O209" s="32"/>
    </row>
    <row r="210" spans="9:15" x14ac:dyDescent="0.25">
      <c r="I210" s="15">
        <v>2191</v>
      </c>
      <c r="J210" s="16">
        <f t="shared" si="23"/>
        <v>21</v>
      </c>
      <c r="K210" s="16">
        <f t="shared" si="24"/>
        <v>18</v>
      </c>
      <c r="L210" s="16">
        <f t="shared" si="25"/>
        <v>1</v>
      </c>
      <c r="M210" s="16">
        <f t="shared" si="26"/>
        <v>41</v>
      </c>
      <c r="N210" s="17" t="str">
        <f t="shared" si="27"/>
        <v>10.04.2191</v>
      </c>
      <c r="O210" s="32"/>
    </row>
    <row r="211" spans="9:15" x14ac:dyDescent="0.25">
      <c r="I211" s="21">
        <v>2190</v>
      </c>
      <c r="J211" s="16">
        <f t="shared" si="23"/>
        <v>21</v>
      </c>
      <c r="K211" s="16">
        <f t="shared" si="24"/>
        <v>29</v>
      </c>
      <c r="L211" s="16">
        <f t="shared" si="25"/>
        <v>5</v>
      </c>
      <c r="M211" s="16">
        <f t="shared" si="26"/>
        <v>56</v>
      </c>
      <c r="N211" s="17" t="str">
        <f t="shared" si="27"/>
        <v>25.04.2190</v>
      </c>
      <c r="O211" s="32"/>
    </row>
    <row r="212" spans="9:15" x14ac:dyDescent="0.25">
      <c r="I212" s="15">
        <v>2189</v>
      </c>
      <c r="J212" s="16">
        <f t="shared" si="23"/>
        <v>21</v>
      </c>
      <c r="K212" s="16">
        <f t="shared" si="24"/>
        <v>10</v>
      </c>
      <c r="L212" s="16">
        <f t="shared" si="25"/>
        <v>4</v>
      </c>
      <c r="M212" s="16">
        <f t="shared" si="26"/>
        <v>36</v>
      </c>
      <c r="N212" s="17" t="str">
        <f t="shared" si="27"/>
        <v>05.04.2189</v>
      </c>
      <c r="O212" s="32"/>
    </row>
    <row r="213" spans="9:15" x14ac:dyDescent="0.25">
      <c r="I213" s="21">
        <v>2188</v>
      </c>
      <c r="J213" s="16">
        <f t="shared" si="23"/>
        <v>21</v>
      </c>
      <c r="K213" s="16">
        <f t="shared" si="24"/>
        <v>21</v>
      </c>
      <c r="L213" s="16">
        <f t="shared" si="25"/>
        <v>1</v>
      </c>
      <c r="M213" s="16">
        <f t="shared" si="26"/>
        <v>44</v>
      </c>
      <c r="N213" s="17" t="str">
        <f t="shared" si="27"/>
        <v>13.04.2188</v>
      </c>
      <c r="O213" s="32"/>
    </row>
    <row r="214" spans="9:15" x14ac:dyDescent="0.25">
      <c r="I214" s="15">
        <v>2187</v>
      </c>
      <c r="J214" s="16">
        <f t="shared" si="23"/>
        <v>21</v>
      </c>
      <c r="K214" s="16">
        <f t="shared" si="24"/>
        <v>2</v>
      </c>
      <c r="L214" s="16">
        <f t="shared" si="25"/>
        <v>1</v>
      </c>
      <c r="M214" s="16">
        <f t="shared" si="26"/>
        <v>25</v>
      </c>
      <c r="N214" s="17" t="str">
        <f t="shared" si="27"/>
        <v>25.03.2187</v>
      </c>
      <c r="O214" s="32"/>
    </row>
    <row r="215" spans="9:15" x14ac:dyDescent="0.25">
      <c r="I215" s="21">
        <v>2186</v>
      </c>
      <c r="J215" s="16">
        <f t="shared" si="23"/>
        <v>21</v>
      </c>
      <c r="K215" s="16">
        <f t="shared" si="24"/>
        <v>13</v>
      </c>
      <c r="L215" s="16">
        <f t="shared" si="25"/>
        <v>5</v>
      </c>
      <c r="M215" s="16">
        <f t="shared" si="26"/>
        <v>40</v>
      </c>
      <c r="N215" s="17" t="str">
        <f t="shared" si="27"/>
        <v>09.04.2186</v>
      </c>
      <c r="O215" s="32"/>
    </row>
    <row r="216" spans="9:15" x14ac:dyDescent="0.25">
      <c r="I216" s="15">
        <v>2185</v>
      </c>
      <c r="J216" s="16">
        <f t="shared" si="23"/>
        <v>21</v>
      </c>
      <c r="K216" s="16">
        <f t="shared" si="24"/>
        <v>24</v>
      </c>
      <c r="L216" s="16">
        <f t="shared" si="25"/>
        <v>2</v>
      </c>
      <c r="M216" s="16">
        <f t="shared" si="26"/>
        <v>48</v>
      </c>
      <c r="N216" s="17" t="str">
        <f t="shared" si="27"/>
        <v>17.04.2185</v>
      </c>
      <c r="O216" s="32"/>
    </row>
    <row r="217" spans="9:15" x14ac:dyDescent="0.25">
      <c r="I217" s="21">
        <v>2184</v>
      </c>
      <c r="J217" s="16">
        <f t="shared" si="23"/>
        <v>21</v>
      </c>
      <c r="K217" s="16">
        <f t="shared" si="24"/>
        <v>6</v>
      </c>
      <c r="L217" s="16">
        <f t="shared" si="25"/>
        <v>0</v>
      </c>
      <c r="M217" s="16">
        <f t="shared" si="26"/>
        <v>28</v>
      </c>
      <c r="N217" s="17" t="str">
        <f t="shared" si="27"/>
        <v>28.03.2184</v>
      </c>
      <c r="O217" s="32"/>
    </row>
    <row r="218" spans="9:15" x14ac:dyDescent="0.25">
      <c r="I218" s="15">
        <v>2183</v>
      </c>
      <c r="J218" s="16">
        <f t="shared" si="23"/>
        <v>21</v>
      </c>
      <c r="K218" s="16">
        <f t="shared" si="24"/>
        <v>17</v>
      </c>
      <c r="L218" s="16">
        <f t="shared" si="25"/>
        <v>5</v>
      </c>
      <c r="M218" s="16">
        <f t="shared" si="26"/>
        <v>44</v>
      </c>
      <c r="N218" s="17" t="str">
        <f t="shared" si="27"/>
        <v>13.04.2183</v>
      </c>
      <c r="O218" s="32"/>
    </row>
    <row r="219" spans="9:15" x14ac:dyDescent="0.25">
      <c r="I219" s="21">
        <v>2182</v>
      </c>
      <c r="J219" s="16">
        <f t="shared" si="23"/>
        <v>21</v>
      </c>
      <c r="K219" s="16">
        <f t="shared" si="24"/>
        <v>28</v>
      </c>
      <c r="L219" s="16">
        <f t="shared" si="25"/>
        <v>2</v>
      </c>
      <c r="M219" s="16">
        <f t="shared" si="26"/>
        <v>52</v>
      </c>
      <c r="N219" s="17" t="str">
        <f t="shared" si="27"/>
        <v>21.04.2182</v>
      </c>
      <c r="O219" s="32"/>
    </row>
    <row r="220" spans="9:15" x14ac:dyDescent="0.25">
      <c r="I220" s="15">
        <v>2181</v>
      </c>
      <c r="J220" s="16">
        <f t="shared" si="23"/>
        <v>21</v>
      </c>
      <c r="K220" s="16">
        <f t="shared" si="24"/>
        <v>9</v>
      </c>
      <c r="L220" s="16">
        <f t="shared" si="25"/>
        <v>1</v>
      </c>
      <c r="M220" s="16">
        <f t="shared" si="26"/>
        <v>32</v>
      </c>
      <c r="N220" s="17" t="str">
        <f t="shared" si="27"/>
        <v>01.04.2181</v>
      </c>
      <c r="O220" s="32"/>
    </row>
    <row r="221" spans="9:15" x14ac:dyDescent="0.25">
      <c r="I221" s="21">
        <v>2180</v>
      </c>
      <c r="J221" s="16">
        <f t="shared" si="23"/>
        <v>21</v>
      </c>
      <c r="K221" s="16">
        <f t="shared" si="24"/>
        <v>20</v>
      </c>
      <c r="L221" s="16">
        <f t="shared" si="25"/>
        <v>5</v>
      </c>
      <c r="M221" s="16">
        <f t="shared" si="26"/>
        <v>47</v>
      </c>
      <c r="N221" s="17" t="str">
        <f t="shared" si="27"/>
        <v>16.04.2180</v>
      </c>
      <c r="O221" s="32"/>
    </row>
    <row r="222" spans="9:15" x14ac:dyDescent="0.25">
      <c r="I222" s="15">
        <v>2179</v>
      </c>
      <c r="J222" s="16">
        <f t="shared" si="23"/>
        <v>21</v>
      </c>
      <c r="K222" s="16">
        <f t="shared" si="24"/>
        <v>1</v>
      </c>
      <c r="L222" s="16">
        <f t="shared" si="25"/>
        <v>5</v>
      </c>
      <c r="M222" s="16">
        <f t="shared" si="26"/>
        <v>28</v>
      </c>
      <c r="N222" s="17" t="str">
        <f t="shared" si="27"/>
        <v>28.03.2179</v>
      </c>
      <c r="O222" s="32"/>
    </row>
    <row r="223" spans="9:15" x14ac:dyDescent="0.25">
      <c r="I223" s="21">
        <v>2178</v>
      </c>
      <c r="J223" s="16">
        <f t="shared" si="23"/>
        <v>21</v>
      </c>
      <c r="K223" s="16">
        <f t="shared" si="24"/>
        <v>12</v>
      </c>
      <c r="L223" s="16">
        <f t="shared" si="25"/>
        <v>2</v>
      </c>
      <c r="M223" s="16">
        <f t="shared" si="26"/>
        <v>36</v>
      </c>
      <c r="N223" s="17" t="str">
        <f t="shared" si="27"/>
        <v>05.04.2178</v>
      </c>
      <c r="O223" s="32"/>
    </row>
    <row r="224" spans="9:15" x14ac:dyDescent="0.25">
      <c r="I224" s="15">
        <v>2177</v>
      </c>
      <c r="J224" s="16">
        <f t="shared" si="23"/>
        <v>21</v>
      </c>
      <c r="K224" s="16">
        <f t="shared" si="24"/>
        <v>23</v>
      </c>
      <c r="L224" s="16">
        <f t="shared" si="25"/>
        <v>6</v>
      </c>
      <c r="M224" s="16">
        <f t="shared" si="26"/>
        <v>51</v>
      </c>
      <c r="N224" s="17" t="str">
        <f t="shared" si="27"/>
        <v>20.04.2177</v>
      </c>
      <c r="O224" s="32"/>
    </row>
    <row r="225" spans="9:15" x14ac:dyDescent="0.25">
      <c r="I225" s="21">
        <v>2176</v>
      </c>
      <c r="J225" s="16">
        <f t="shared" si="23"/>
        <v>21</v>
      </c>
      <c r="K225" s="16">
        <f t="shared" si="24"/>
        <v>4</v>
      </c>
      <c r="L225" s="16">
        <f t="shared" si="25"/>
        <v>5</v>
      </c>
      <c r="M225" s="16">
        <f t="shared" si="26"/>
        <v>31</v>
      </c>
      <c r="N225" s="17" t="str">
        <f t="shared" si="27"/>
        <v>31.03.2176</v>
      </c>
      <c r="O225" s="32"/>
    </row>
    <row r="226" spans="9:15" x14ac:dyDescent="0.25">
      <c r="I226" s="15">
        <v>2175</v>
      </c>
      <c r="J226" s="16">
        <f t="shared" si="23"/>
        <v>21</v>
      </c>
      <c r="K226" s="16">
        <f t="shared" si="24"/>
        <v>15</v>
      </c>
      <c r="L226" s="16">
        <f t="shared" si="25"/>
        <v>3</v>
      </c>
      <c r="M226" s="16">
        <f t="shared" si="26"/>
        <v>40</v>
      </c>
      <c r="N226" s="17" t="str">
        <f t="shared" si="27"/>
        <v>09.04.2175</v>
      </c>
      <c r="O226" s="32"/>
    </row>
    <row r="227" spans="9:15" x14ac:dyDescent="0.25">
      <c r="I227" s="21">
        <v>2174</v>
      </c>
      <c r="J227" s="16">
        <f t="shared" si="23"/>
        <v>21</v>
      </c>
      <c r="K227" s="16">
        <f t="shared" si="24"/>
        <v>26</v>
      </c>
      <c r="L227" s="16">
        <f t="shared" si="25"/>
        <v>0</v>
      </c>
      <c r="M227" s="16">
        <f t="shared" si="26"/>
        <v>48</v>
      </c>
      <c r="N227" s="17" t="str">
        <f t="shared" si="27"/>
        <v>17.04.2174</v>
      </c>
      <c r="O227" s="32"/>
    </row>
    <row r="228" spans="9:15" x14ac:dyDescent="0.25">
      <c r="I228" s="15">
        <v>2173</v>
      </c>
      <c r="J228" s="16">
        <f t="shared" si="23"/>
        <v>21</v>
      </c>
      <c r="K228" s="16">
        <f t="shared" si="24"/>
        <v>7</v>
      </c>
      <c r="L228" s="16">
        <f t="shared" si="25"/>
        <v>6</v>
      </c>
      <c r="M228" s="16">
        <f t="shared" si="26"/>
        <v>35</v>
      </c>
      <c r="N228" s="17" t="str">
        <f t="shared" si="27"/>
        <v>04.04.2173</v>
      </c>
      <c r="O228" s="32"/>
    </row>
    <row r="229" spans="9:15" x14ac:dyDescent="0.25">
      <c r="I229" s="21">
        <v>2172</v>
      </c>
      <c r="J229" s="16">
        <f t="shared" si="23"/>
        <v>21</v>
      </c>
      <c r="K229" s="16">
        <f t="shared" si="24"/>
        <v>18</v>
      </c>
      <c r="L229" s="16">
        <f t="shared" si="25"/>
        <v>3</v>
      </c>
      <c r="M229" s="16">
        <f t="shared" si="26"/>
        <v>43</v>
      </c>
      <c r="N229" s="17" t="str">
        <f t="shared" si="27"/>
        <v>12.04.2172</v>
      </c>
      <c r="O229" s="32"/>
    </row>
    <row r="230" spans="9:15" x14ac:dyDescent="0.25">
      <c r="I230" s="15">
        <v>2171</v>
      </c>
      <c r="J230" s="16">
        <f t="shared" ref="J230:J293" si="28">INT(I230/100)</f>
        <v>21</v>
      </c>
      <c r="K230" s="16">
        <f t="shared" ref="K230:K293" si="29">MOD(19*MOD(I230,19)+J230-INT(J230/4)-INT((J230-INT((J230+8)/25)+1)/3)+15,30)</f>
        <v>29</v>
      </c>
      <c r="L230" s="16">
        <f t="shared" ref="L230:L293" si="30">MOD(32+2*MOD(J230,4)+2*INT(MOD(I230,100)/4)-K230-MOD(MOD(I230,100),4),7)</f>
        <v>1</v>
      </c>
      <c r="M230" s="16">
        <f t="shared" ref="M230:M293" si="31">K230+L230-7*INT((MOD(I230,19)+11*K230+22*L230)/451)+22</f>
        <v>52</v>
      </c>
      <c r="N230" s="17" t="str">
        <f t="shared" ref="N230:N293" si="32">TEXT(IF(M230-31 &lt; 1,M230,M230-31),"0#")&amp;"."&amp;IF(M230 &gt; 31,"04.","03.")&amp;I230</f>
        <v>21.04.2171</v>
      </c>
      <c r="O230" s="32"/>
    </row>
    <row r="231" spans="9:15" x14ac:dyDescent="0.25">
      <c r="I231" s="21">
        <v>2170</v>
      </c>
      <c r="J231" s="16">
        <f t="shared" si="28"/>
        <v>21</v>
      </c>
      <c r="K231" s="16">
        <f t="shared" si="29"/>
        <v>10</v>
      </c>
      <c r="L231" s="16">
        <f t="shared" si="30"/>
        <v>0</v>
      </c>
      <c r="M231" s="16">
        <f t="shared" si="31"/>
        <v>32</v>
      </c>
      <c r="N231" s="17" t="str">
        <f t="shared" si="32"/>
        <v>01.04.2170</v>
      </c>
      <c r="O231" s="32"/>
    </row>
    <row r="232" spans="9:15" x14ac:dyDescent="0.25">
      <c r="I232" s="15">
        <v>2169</v>
      </c>
      <c r="J232" s="16">
        <f t="shared" si="28"/>
        <v>21</v>
      </c>
      <c r="K232" s="16">
        <f t="shared" si="29"/>
        <v>21</v>
      </c>
      <c r="L232" s="16">
        <f t="shared" si="30"/>
        <v>4</v>
      </c>
      <c r="M232" s="16">
        <f t="shared" si="31"/>
        <v>47</v>
      </c>
      <c r="N232" s="17" t="str">
        <f t="shared" si="32"/>
        <v>16.04.2169</v>
      </c>
      <c r="O232" s="32"/>
    </row>
    <row r="233" spans="9:15" x14ac:dyDescent="0.25">
      <c r="I233" s="21">
        <v>2168</v>
      </c>
      <c r="J233" s="16">
        <f t="shared" si="28"/>
        <v>21</v>
      </c>
      <c r="K233" s="16">
        <f t="shared" si="29"/>
        <v>2</v>
      </c>
      <c r="L233" s="16">
        <f t="shared" si="30"/>
        <v>3</v>
      </c>
      <c r="M233" s="16">
        <f t="shared" si="31"/>
        <v>27</v>
      </c>
      <c r="N233" s="17" t="str">
        <f t="shared" si="32"/>
        <v>27.03.2168</v>
      </c>
      <c r="O233" s="32"/>
    </row>
    <row r="234" spans="9:15" x14ac:dyDescent="0.25">
      <c r="I234" s="15">
        <v>2167</v>
      </c>
      <c r="J234" s="16">
        <f t="shared" si="28"/>
        <v>21</v>
      </c>
      <c r="K234" s="16">
        <f t="shared" si="29"/>
        <v>13</v>
      </c>
      <c r="L234" s="16">
        <f t="shared" si="30"/>
        <v>1</v>
      </c>
      <c r="M234" s="16">
        <f t="shared" si="31"/>
        <v>36</v>
      </c>
      <c r="N234" s="17" t="str">
        <f t="shared" si="32"/>
        <v>05.04.2167</v>
      </c>
      <c r="O234" s="32"/>
    </row>
    <row r="235" spans="9:15" x14ac:dyDescent="0.25">
      <c r="I235" s="21">
        <v>2166</v>
      </c>
      <c r="J235" s="16">
        <f t="shared" si="28"/>
        <v>21</v>
      </c>
      <c r="K235" s="16">
        <f t="shared" si="29"/>
        <v>24</v>
      </c>
      <c r="L235" s="16">
        <f t="shared" si="30"/>
        <v>5</v>
      </c>
      <c r="M235" s="16">
        <f t="shared" si="31"/>
        <v>51</v>
      </c>
      <c r="N235" s="17" t="str">
        <f t="shared" si="32"/>
        <v>20.04.2166</v>
      </c>
      <c r="O235" s="32"/>
    </row>
    <row r="236" spans="9:15" x14ac:dyDescent="0.25">
      <c r="I236" s="15">
        <v>2165</v>
      </c>
      <c r="J236" s="16">
        <f t="shared" si="28"/>
        <v>21</v>
      </c>
      <c r="K236" s="16">
        <f t="shared" si="29"/>
        <v>6</v>
      </c>
      <c r="L236" s="16">
        <f t="shared" si="30"/>
        <v>3</v>
      </c>
      <c r="M236" s="16">
        <f t="shared" si="31"/>
        <v>31</v>
      </c>
      <c r="N236" s="17" t="str">
        <f t="shared" si="32"/>
        <v>31.03.2165</v>
      </c>
      <c r="O236" s="32"/>
    </row>
    <row r="237" spans="9:15" x14ac:dyDescent="0.25">
      <c r="I237" s="21">
        <v>2164</v>
      </c>
      <c r="J237" s="16">
        <f t="shared" si="28"/>
        <v>21</v>
      </c>
      <c r="K237" s="16">
        <f t="shared" si="29"/>
        <v>17</v>
      </c>
      <c r="L237" s="16">
        <f t="shared" si="30"/>
        <v>0</v>
      </c>
      <c r="M237" s="16">
        <f t="shared" si="31"/>
        <v>39</v>
      </c>
      <c r="N237" s="17" t="str">
        <f t="shared" si="32"/>
        <v>08.04.2164</v>
      </c>
      <c r="O237" s="32"/>
    </row>
    <row r="238" spans="9:15" x14ac:dyDescent="0.25">
      <c r="I238" s="15">
        <v>2163</v>
      </c>
      <c r="J238" s="16">
        <f t="shared" si="28"/>
        <v>21</v>
      </c>
      <c r="K238" s="16">
        <f t="shared" si="29"/>
        <v>28</v>
      </c>
      <c r="L238" s="16">
        <f t="shared" si="30"/>
        <v>5</v>
      </c>
      <c r="M238" s="16">
        <f t="shared" si="31"/>
        <v>55</v>
      </c>
      <c r="N238" s="17" t="str">
        <f t="shared" si="32"/>
        <v>24.04.2163</v>
      </c>
      <c r="O238" s="32"/>
    </row>
    <row r="239" spans="9:15" x14ac:dyDescent="0.25">
      <c r="I239" s="21">
        <v>2162</v>
      </c>
      <c r="J239" s="16">
        <f t="shared" si="28"/>
        <v>21</v>
      </c>
      <c r="K239" s="16">
        <f t="shared" si="29"/>
        <v>9</v>
      </c>
      <c r="L239" s="16">
        <f t="shared" si="30"/>
        <v>4</v>
      </c>
      <c r="M239" s="16">
        <f t="shared" si="31"/>
        <v>35</v>
      </c>
      <c r="N239" s="17" t="str">
        <f t="shared" si="32"/>
        <v>04.04.2162</v>
      </c>
      <c r="O239" s="32"/>
    </row>
    <row r="240" spans="9:15" x14ac:dyDescent="0.25">
      <c r="I240" s="15">
        <v>2161</v>
      </c>
      <c r="J240" s="16">
        <f t="shared" si="28"/>
        <v>21</v>
      </c>
      <c r="K240" s="16">
        <f t="shared" si="29"/>
        <v>20</v>
      </c>
      <c r="L240" s="16">
        <f t="shared" si="30"/>
        <v>1</v>
      </c>
      <c r="M240" s="16">
        <f t="shared" si="31"/>
        <v>43</v>
      </c>
      <c r="N240" s="17" t="str">
        <f t="shared" si="32"/>
        <v>12.04.2161</v>
      </c>
      <c r="O240" s="32"/>
    </row>
    <row r="241" spans="9:15" x14ac:dyDescent="0.25">
      <c r="I241" s="21">
        <v>2160</v>
      </c>
      <c r="J241" s="16">
        <f t="shared" si="28"/>
        <v>21</v>
      </c>
      <c r="K241" s="16">
        <f t="shared" si="29"/>
        <v>1</v>
      </c>
      <c r="L241" s="16">
        <f t="shared" si="30"/>
        <v>0</v>
      </c>
      <c r="M241" s="16">
        <f t="shared" si="31"/>
        <v>23</v>
      </c>
      <c r="N241" s="17" t="str">
        <f t="shared" si="32"/>
        <v>23.03.2160</v>
      </c>
      <c r="O241" s="32"/>
    </row>
    <row r="242" spans="9:15" x14ac:dyDescent="0.25">
      <c r="I242" s="15">
        <v>2159</v>
      </c>
      <c r="J242" s="16">
        <f t="shared" si="28"/>
        <v>21</v>
      </c>
      <c r="K242" s="16">
        <f t="shared" si="29"/>
        <v>12</v>
      </c>
      <c r="L242" s="16">
        <f t="shared" si="30"/>
        <v>5</v>
      </c>
      <c r="M242" s="16">
        <f t="shared" si="31"/>
        <v>39</v>
      </c>
      <c r="N242" s="17" t="str">
        <f t="shared" si="32"/>
        <v>08.04.2159</v>
      </c>
      <c r="O242" s="32"/>
    </row>
    <row r="243" spans="9:15" x14ac:dyDescent="0.25">
      <c r="I243" s="21">
        <v>2158</v>
      </c>
      <c r="J243" s="16">
        <f t="shared" si="28"/>
        <v>21</v>
      </c>
      <c r="K243" s="16">
        <f t="shared" si="29"/>
        <v>23</v>
      </c>
      <c r="L243" s="16">
        <f t="shared" si="30"/>
        <v>2</v>
      </c>
      <c r="M243" s="16">
        <f t="shared" si="31"/>
        <v>47</v>
      </c>
      <c r="N243" s="17" t="str">
        <f t="shared" si="32"/>
        <v>16.04.2158</v>
      </c>
      <c r="O243" s="32"/>
    </row>
    <row r="244" spans="9:15" x14ac:dyDescent="0.25">
      <c r="I244" s="15">
        <v>2157</v>
      </c>
      <c r="J244" s="16">
        <f t="shared" si="28"/>
        <v>21</v>
      </c>
      <c r="K244" s="16">
        <f t="shared" si="29"/>
        <v>4</v>
      </c>
      <c r="L244" s="16">
        <f t="shared" si="30"/>
        <v>1</v>
      </c>
      <c r="M244" s="16">
        <f t="shared" si="31"/>
        <v>27</v>
      </c>
      <c r="N244" s="17" t="str">
        <f t="shared" si="32"/>
        <v>27.03.2157</v>
      </c>
      <c r="O244" s="32"/>
    </row>
    <row r="245" spans="9:15" x14ac:dyDescent="0.25">
      <c r="I245" s="21">
        <v>2156</v>
      </c>
      <c r="J245" s="16">
        <f t="shared" si="28"/>
        <v>21</v>
      </c>
      <c r="K245" s="16">
        <f t="shared" si="29"/>
        <v>15</v>
      </c>
      <c r="L245" s="16">
        <f t="shared" si="30"/>
        <v>5</v>
      </c>
      <c r="M245" s="16">
        <f t="shared" si="31"/>
        <v>42</v>
      </c>
      <c r="N245" s="17" t="str">
        <f t="shared" si="32"/>
        <v>11.04.2156</v>
      </c>
      <c r="O245" s="32"/>
    </row>
    <row r="246" spans="9:15" x14ac:dyDescent="0.25">
      <c r="I246" s="15">
        <v>2155</v>
      </c>
      <c r="J246" s="16">
        <f t="shared" si="28"/>
        <v>21</v>
      </c>
      <c r="K246" s="16">
        <f t="shared" si="29"/>
        <v>26</v>
      </c>
      <c r="L246" s="16">
        <f t="shared" si="30"/>
        <v>3</v>
      </c>
      <c r="M246" s="16">
        <f t="shared" si="31"/>
        <v>51</v>
      </c>
      <c r="N246" s="17" t="str">
        <f t="shared" si="32"/>
        <v>20.04.2155</v>
      </c>
      <c r="O246" s="32"/>
    </row>
    <row r="247" spans="9:15" x14ac:dyDescent="0.25">
      <c r="I247" s="21">
        <v>2154</v>
      </c>
      <c r="J247" s="16">
        <f t="shared" si="28"/>
        <v>21</v>
      </c>
      <c r="K247" s="16">
        <f t="shared" si="29"/>
        <v>7</v>
      </c>
      <c r="L247" s="16">
        <f t="shared" si="30"/>
        <v>2</v>
      </c>
      <c r="M247" s="16">
        <f t="shared" si="31"/>
        <v>31</v>
      </c>
      <c r="N247" s="17" t="str">
        <f t="shared" si="32"/>
        <v>31.03.2154</v>
      </c>
      <c r="O247" s="32"/>
    </row>
    <row r="248" spans="9:15" x14ac:dyDescent="0.25">
      <c r="I248" s="15">
        <v>2153</v>
      </c>
      <c r="J248" s="16">
        <f t="shared" si="28"/>
        <v>21</v>
      </c>
      <c r="K248" s="16">
        <f t="shared" si="29"/>
        <v>18</v>
      </c>
      <c r="L248" s="16">
        <f t="shared" si="30"/>
        <v>6</v>
      </c>
      <c r="M248" s="16">
        <f t="shared" si="31"/>
        <v>46</v>
      </c>
      <c r="N248" s="17" t="str">
        <f t="shared" si="32"/>
        <v>15.04.2153</v>
      </c>
      <c r="O248" s="32"/>
    </row>
    <row r="249" spans="9:15" x14ac:dyDescent="0.25">
      <c r="I249" s="21">
        <v>2152</v>
      </c>
      <c r="J249" s="16">
        <f t="shared" si="28"/>
        <v>21</v>
      </c>
      <c r="K249" s="16">
        <f t="shared" si="29"/>
        <v>29</v>
      </c>
      <c r="L249" s="16">
        <f t="shared" si="30"/>
        <v>3</v>
      </c>
      <c r="M249" s="16">
        <f t="shared" si="31"/>
        <v>54</v>
      </c>
      <c r="N249" s="17" t="str">
        <f t="shared" si="32"/>
        <v>23.04.2152</v>
      </c>
      <c r="O249" s="32"/>
    </row>
    <row r="250" spans="9:15" x14ac:dyDescent="0.25">
      <c r="I250" s="15">
        <v>2151</v>
      </c>
      <c r="J250" s="16">
        <f t="shared" si="28"/>
        <v>21</v>
      </c>
      <c r="K250" s="16">
        <f t="shared" si="29"/>
        <v>10</v>
      </c>
      <c r="L250" s="16">
        <f t="shared" si="30"/>
        <v>3</v>
      </c>
      <c r="M250" s="16">
        <f t="shared" si="31"/>
        <v>35</v>
      </c>
      <c r="N250" s="17" t="str">
        <f t="shared" si="32"/>
        <v>04.04.2151</v>
      </c>
      <c r="O250" s="32"/>
    </row>
    <row r="251" spans="9:15" x14ac:dyDescent="0.25">
      <c r="I251" s="21">
        <v>2150</v>
      </c>
      <c r="J251" s="16">
        <f t="shared" si="28"/>
        <v>21</v>
      </c>
      <c r="K251" s="16">
        <f t="shared" si="29"/>
        <v>21</v>
      </c>
      <c r="L251" s="16">
        <f t="shared" si="30"/>
        <v>0</v>
      </c>
      <c r="M251" s="16">
        <f t="shared" si="31"/>
        <v>43</v>
      </c>
      <c r="N251" s="17" t="str">
        <f t="shared" si="32"/>
        <v>12.04.2150</v>
      </c>
      <c r="O251" s="32"/>
    </row>
    <row r="252" spans="9:15" x14ac:dyDescent="0.25">
      <c r="I252" s="15">
        <v>2149</v>
      </c>
      <c r="J252" s="16">
        <f t="shared" si="28"/>
        <v>21</v>
      </c>
      <c r="K252" s="16">
        <f t="shared" si="29"/>
        <v>2</v>
      </c>
      <c r="L252" s="16">
        <f t="shared" si="30"/>
        <v>6</v>
      </c>
      <c r="M252" s="16">
        <f t="shared" si="31"/>
        <v>30</v>
      </c>
      <c r="N252" s="17" t="str">
        <f t="shared" si="32"/>
        <v>30.03.2149</v>
      </c>
      <c r="O252" s="32"/>
    </row>
    <row r="253" spans="9:15" x14ac:dyDescent="0.25">
      <c r="I253" s="21">
        <v>2148</v>
      </c>
      <c r="J253" s="16">
        <f t="shared" si="28"/>
        <v>21</v>
      </c>
      <c r="K253" s="16">
        <f t="shared" si="29"/>
        <v>13</v>
      </c>
      <c r="L253" s="16">
        <f t="shared" si="30"/>
        <v>3</v>
      </c>
      <c r="M253" s="16">
        <f t="shared" si="31"/>
        <v>38</v>
      </c>
      <c r="N253" s="17" t="str">
        <f t="shared" si="32"/>
        <v>07.04.2148</v>
      </c>
      <c r="O253" s="32"/>
    </row>
    <row r="254" spans="9:15" x14ac:dyDescent="0.25">
      <c r="I254" s="15">
        <v>2147</v>
      </c>
      <c r="J254" s="16">
        <f t="shared" si="28"/>
        <v>21</v>
      </c>
      <c r="K254" s="16">
        <f t="shared" si="29"/>
        <v>24</v>
      </c>
      <c r="L254" s="16">
        <f t="shared" si="30"/>
        <v>1</v>
      </c>
      <c r="M254" s="16">
        <f t="shared" si="31"/>
        <v>47</v>
      </c>
      <c r="N254" s="17" t="str">
        <f t="shared" si="32"/>
        <v>16.04.2147</v>
      </c>
      <c r="O254" s="32"/>
    </row>
    <row r="255" spans="9:15" x14ac:dyDescent="0.25">
      <c r="I255" s="21">
        <v>2146</v>
      </c>
      <c r="J255" s="16">
        <f t="shared" si="28"/>
        <v>21</v>
      </c>
      <c r="K255" s="16">
        <f t="shared" si="29"/>
        <v>6</v>
      </c>
      <c r="L255" s="16">
        <f t="shared" si="30"/>
        <v>6</v>
      </c>
      <c r="M255" s="16">
        <f t="shared" si="31"/>
        <v>34</v>
      </c>
      <c r="N255" s="17" t="str">
        <f t="shared" si="32"/>
        <v>03.04.2146</v>
      </c>
      <c r="O255" s="32"/>
    </row>
    <row r="256" spans="9:15" x14ac:dyDescent="0.25">
      <c r="I256" s="15">
        <v>2145</v>
      </c>
      <c r="J256" s="16">
        <f t="shared" si="28"/>
        <v>21</v>
      </c>
      <c r="K256" s="16">
        <f t="shared" si="29"/>
        <v>17</v>
      </c>
      <c r="L256" s="16">
        <f t="shared" si="30"/>
        <v>3</v>
      </c>
      <c r="M256" s="16">
        <f t="shared" si="31"/>
        <v>42</v>
      </c>
      <c r="N256" s="17" t="str">
        <f t="shared" si="32"/>
        <v>11.04.2145</v>
      </c>
      <c r="O256" s="32"/>
    </row>
    <row r="257" spans="9:15" x14ac:dyDescent="0.25">
      <c r="I257" s="21">
        <v>2144</v>
      </c>
      <c r="J257" s="16">
        <f t="shared" si="28"/>
        <v>21</v>
      </c>
      <c r="K257" s="16">
        <f t="shared" si="29"/>
        <v>28</v>
      </c>
      <c r="L257" s="16">
        <f t="shared" si="30"/>
        <v>0</v>
      </c>
      <c r="M257" s="16">
        <f t="shared" si="31"/>
        <v>50</v>
      </c>
      <c r="N257" s="17" t="str">
        <f t="shared" si="32"/>
        <v>19.04.2144</v>
      </c>
      <c r="O257" s="32"/>
    </row>
    <row r="258" spans="9:15" x14ac:dyDescent="0.25">
      <c r="I258" s="15">
        <v>2143</v>
      </c>
      <c r="J258" s="16">
        <f t="shared" si="28"/>
        <v>21</v>
      </c>
      <c r="K258" s="16">
        <f t="shared" si="29"/>
        <v>9</v>
      </c>
      <c r="L258" s="16">
        <f t="shared" si="30"/>
        <v>0</v>
      </c>
      <c r="M258" s="16">
        <f t="shared" si="31"/>
        <v>31</v>
      </c>
      <c r="N258" s="17" t="str">
        <f t="shared" si="32"/>
        <v>31.03.2143</v>
      </c>
      <c r="O258" s="32"/>
    </row>
    <row r="259" spans="9:15" x14ac:dyDescent="0.25">
      <c r="I259" s="21">
        <v>2142</v>
      </c>
      <c r="J259" s="16">
        <f t="shared" si="28"/>
        <v>21</v>
      </c>
      <c r="K259" s="16">
        <f t="shared" si="29"/>
        <v>20</v>
      </c>
      <c r="L259" s="16">
        <f t="shared" si="30"/>
        <v>4</v>
      </c>
      <c r="M259" s="16">
        <f t="shared" si="31"/>
        <v>46</v>
      </c>
      <c r="N259" s="17" t="str">
        <f t="shared" si="32"/>
        <v>15.04.2142</v>
      </c>
      <c r="O259" s="32"/>
    </row>
    <row r="260" spans="9:15" x14ac:dyDescent="0.25">
      <c r="I260" s="15">
        <v>2141</v>
      </c>
      <c r="J260" s="16">
        <f t="shared" si="28"/>
        <v>21</v>
      </c>
      <c r="K260" s="16">
        <f t="shared" si="29"/>
        <v>1</v>
      </c>
      <c r="L260" s="16">
        <f t="shared" si="30"/>
        <v>3</v>
      </c>
      <c r="M260" s="16">
        <f t="shared" si="31"/>
        <v>26</v>
      </c>
      <c r="N260" s="17" t="str">
        <f t="shared" si="32"/>
        <v>26.03.2141</v>
      </c>
      <c r="O260" s="32"/>
    </row>
    <row r="261" spans="9:15" x14ac:dyDescent="0.25">
      <c r="I261" s="21">
        <v>2140</v>
      </c>
      <c r="J261" s="16">
        <f t="shared" si="28"/>
        <v>21</v>
      </c>
      <c r="K261" s="16">
        <f t="shared" si="29"/>
        <v>12</v>
      </c>
      <c r="L261" s="16">
        <f t="shared" si="30"/>
        <v>0</v>
      </c>
      <c r="M261" s="16">
        <f t="shared" si="31"/>
        <v>34</v>
      </c>
      <c r="N261" s="17" t="str">
        <f t="shared" si="32"/>
        <v>03.04.2140</v>
      </c>
      <c r="O261" s="32"/>
    </row>
    <row r="262" spans="9:15" x14ac:dyDescent="0.25">
      <c r="I262" s="15">
        <v>2139</v>
      </c>
      <c r="J262" s="16">
        <f t="shared" si="28"/>
        <v>21</v>
      </c>
      <c r="K262" s="16">
        <f t="shared" si="29"/>
        <v>23</v>
      </c>
      <c r="L262" s="16">
        <f t="shared" si="30"/>
        <v>5</v>
      </c>
      <c r="M262" s="16">
        <f t="shared" si="31"/>
        <v>50</v>
      </c>
      <c r="N262" s="17" t="str">
        <f t="shared" si="32"/>
        <v>19.04.2139</v>
      </c>
      <c r="O262" s="32"/>
    </row>
    <row r="263" spans="9:15" x14ac:dyDescent="0.25">
      <c r="I263" s="21">
        <v>2138</v>
      </c>
      <c r="J263" s="16">
        <f t="shared" si="28"/>
        <v>21</v>
      </c>
      <c r="K263" s="16">
        <f t="shared" si="29"/>
        <v>4</v>
      </c>
      <c r="L263" s="16">
        <f t="shared" si="30"/>
        <v>4</v>
      </c>
      <c r="M263" s="16">
        <f t="shared" si="31"/>
        <v>30</v>
      </c>
      <c r="N263" s="17" t="str">
        <f t="shared" si="32"/>
        <v>30.03.2138</v>
      </c>
      <c r="O263" s="32"/>
    </row>
    <row r="264" spans="9:15" x14ac:dyDescent="0.25">
      <c r="I264" s="15">
        <v>2137</v>
      </c>
      <c r="J264" s="16">
        <f t="shared" si="28"/>
        <v>21</v>
      </c>
      <c r="K264" s="16">
        <f t="shared" si="29"/>
        <v>15</v>
      </c>
      <c r="L264" s="16">
        <f t="shared" si="30"/>
        <v>1</v>
      </c>
      <c r="M264" s="16">
        <f t="shared" si="31"/>
        <v>38</v>
      </c>
      <c r="N264" s="17" t="str">
        <f t="shared" si="32"/>
        <v>07.04.2137</v>
      </c>
      <c r="O264" s="32"/>
    </row>
    <row r="265" spans="9:15" x14ac:dyDescent="0.25">
      <c r="I265" s="21">
        <v>2136</v>
      </c>
      <c r="J265" s="16">
        <f t="shared" si="28"/>
        <v>21</v>
      </c>
      <c r="K265" s="16">
        <f t="shared" si="29"/>
        <v>26</v>
      </c>
      <c r="L265" s="16">
        <f t="shared" si="30"/>
        <v>5</v>
      </c>
      <c r="M265" s="16">
        <f t="shared" si="31"/>
        <v>53</v>
      </c>
      <c r="N265" s="17" t="str">
        <f t="shared" si="32"/>
        <v>22.04.2136</v>
      </c>
      <c r="O265" s="32"/>
    </row>
    <row r="266" spans="9:15" x14ac:dyDescent="0.25">
      <c r="I266" s="15">
        <v>2135</v>
      </c>
      <c r="J266" s="16">
        <f t="shared" si="28"/>
        <v>21</v>
      </c>
      <c r="K266" s="16">
        <f t="shared" si="29"/>
        <v>7</v>
      </c>
      <c r="L266" s="16">
        <f t="shared" si="30"/>
        <v>5</v>
      </c>
      <c r="M266" s="16">
        <f t="shared" si="31"/>
        <v>34</v>
      </c>
      <c r="N266" s="17" t="str">
        <f t="shared" si="32"/>
        <v>03.04.2135</v>
      </c>
      <c r="O266" s="32"/>
    </row>
    <row r="267" spans="9:15" x14ac:dyDescent="0.25">
      <c r="I267" s="21">
        <v>2134</v>
      </c>
      <c r="J267" s="16">
        <f t="shared" si="28"/>
        <v>21</v>
      </c>
      <c r="K267" s="16">
        <f t="shared" si="29"/>
        <v>18</v>
      </c>
      <c r="L267" s="16">
        <f t="shared" si="30"/>
        <v>2</v>
      </c>
      <c r="M267" s="16">
        <f t="shared" si="31"/>
        <v>42</v>
      </c>
      <c r="N267" s="17" t="str">
        <f t="shared" si="32"/>
        <v>11.04.2134</v>
      </c>
      <c r="O267" s="32"/>
    </row>
    <row r="268" spans="9:15" x14ac:dyDescent="0.25">
      <c r="I268" s="15">
        <v>2133</v>
      </c>
      <c r="J268" s="16">
        <f t="shared" si="28"/>
        <v>21</v>
      </c>
      <c r="K268" s="16">
        <f t="shared" si="29"/>
        <v>29</v>
      </c>
      <c r="L268" s="16">
        <f t="shared" si="30"/>
        <v>6</v>
      </c>
      <c r="M268" s="16">
        <f t="shared" si="31"/>
        <v>50</v>
      </c>
      <c r="N268" s="17" t="str">
        <f t="shared" si="32"/>
        <v>19.04.2133</v>
      </c>
      <c r="O268" s="32"/>
    </row>
    <row r="269" spans="9:15" x14ac:dyDescent="0.25">
      <c r="I269" s="21">
        <v>2132</v>
      </c>
      <c r="J269" s="16">
        <f t="shared" si="28"/>
        <v>21</v>
      </c>
      <c r="K269" s="16">
        <f t="shared" si="29"/>
        <v>10</v>
      </c>
      <c r="L269" s="16">
        <f t="shared" si="30"/>
        <v>5</v>
      </c>
      <c r="M269" s="16">
        <f t="shared" si="31"/>
        <v>37</v>
      </c>
      <c r="N269" s="17" t="str">
        <f t="shared" si="32"/>
        <v>06.04.2132</v>
      </c>
      <c r="O269" s="32"/>
    </row>
    <row r="270" spans="9:15" x14ac:dyDescent="0.25">
      <c r="I270" s="15">
        <v>2131</v>
      </c>
      <c r="J270" s="16">
        <f t="shared" si="28"/>
        <v>21</v>
      </c>
      <c r="K270" s="16">
        <f t="shared" si="29"/>
        <v>21</v>
      </c>
      <c r="L270" s="16">
        <f t="shared" si="30"/>
        <v>3</v>
      </c>
      <c r="M270" s="16">
        <f t="shared" si="31"/>
        <v>46</v>
      </c>
      <c r="N270" s="17" t="str">
        <f t="shared" si="32"/>
        <v>15.04.2131</v>
      </c>
      <c r="O270" s="32"/>
    </row>
    <row r="271" spans="9:15" x14ac:dyDescent="0.25">
      <c r="I271" s="21">
        <v>2130</v>
      </c>
      <c r="J271" s="16">
        <f t="shared" si="28"/>
        <v>21</v>
      </c>
      <c r="K271" s="16">
        <f t="shared" si="29"/>
        <v>2</v>
      </c>
      <c r="L271" s="16">
        <f t="shared" si="30"/>
        <v>2</v>
      </c>
      <c r="M271" s="16">
        <f t="shared" si="31"/>
        <v>26</v>
      </c>
      <c r="N271" s="17" t="str">
        <f t="shared" si="32"/>
        <v>26.03.2130</v>
      </c>
      <c r="O271" s="32"/>
    </row>
    <row r="272" spans="9:15" x14ac:dyDescent="0.25">
      <c r="I272" s="15">
        <v>2129</v>
      </c>
      <c r="J272" s="16">
        <f t="shared" si="28"/>
        <v>21</v>
      </c>
      <c r="K272" s="16">
        <f t="shared" si="29"/>
        <v>13</v>
      </c>
      <c r="L272" s="16">
        <f t="shared" si="30"/>
        <v>6</v>
      </c>
      <c r="M272" s="16">
        <f t="shared" si="31"/>
        <v>41</v>
      </c>
      <c r="N272" s="17" t="str">
        <f t="shared" si="32"/>
        <v>10.04.2129</v>
      </c>
      <c r="O272" s="32"/>
    </row>
    <row r="273" spans="9:15" x14ac:dyDescent="0.25">
      <c r="I273" s="21">
        <v>2128</v>
      </c>
      <c r="J273" s="16">
        <f t="shared" si="28"/>
        <v>21</v>
      </c>
      <c r="K273" s="16">
        <f t="shared" si="29"/>
        <v>24</v>
      </c>
      <c r="L273" s="16">
        <f t="shared" si="30"/>
        <v>3</v>
      </c>
      <c r="M273" s="16">
        <f t="shared" si="31"/>
        <v>49</v>
      </c>
      <c r="N273" s="17" t="str">
        <f t="shared" si="32"/>
        <v>18.04.2128</v>
      </c>
      <c r="O273" s="32"/>
    </row>
    <row r="274" spans="9:15" x14ac:dyDescent="0.25">
      <c r="I274" s="15">
        <v>2127</v>
      </c>
      <c r="J274" s="16">
        <f t="shared" si="28"/>
        <v>21</v>
      </c>
      <c r="K274" s="16">
        <f t="shared" si="29"/>
        <v>6</v>
      </c>
      <c r="L274" s="16">
        <f t="shared" si="30"/>
        <v>2</v>
      </c>
      <c r="M274" s="16">
        <f t="shared" si="31"/>
        <v>30</v>
      </c>
      <c r="N274" s="17" t="str">
        <f t="shared" si="32"/>
        <v>30.03.2127</v>
      </c>
      <c r="O274" s="32"/>
    </row>
    <row r="275" spans="9:15" x14ac:dyDescent="0.25">
      <c r="I275" s="21">
        <v>2126</v>
      </c>
      <c r="J275" s="16">
        <f t="shared" si="28"/>
        <v>21</v>
      </c>
      <c r="K275" s="16">
        <f t="shared" si="29"/>
        <v>17</v>
      </c>
      <c r="L275" s="16">
        <f t="shared" si="30"/>
        <v>6</v>
      </c>
      <c r="M275" s="16">
        <f t="shared" si="31"/>
        <v>45</v>
      </c>
      <c r="N275" s="17" t="str">
        <f t="shared" si="32"/>
        <v>14.04.2126</v>
      </c>
      <c r="O275" s="32"/>
    </row>
    <row r="276" spans="9:15" x14ac:dyDescent="0.25">
      <c r="I276" s="15">
        <v>2125</v>
      </c>
      <c r="J276" s="16">
        <f t="shared" si="28"/>
        <v>21</v>
      </c>
      <c r="K276" s="16">
        <f t="shared" si="29"/>
        <v>28</v>
      </c>
      <c r="L276" s="16">
        <f t="shared" si="30"/>
        <v>3</v>
      </c>
      <c r="M276" s="16">
        <f t="shared" si="31"/>
        <v>53</v>
      </c>
      <c r="N276" s="17" t="str">
        <f t="shared" si="32"/>
        <v>22.04.2125</v>
      </c>
      <c r="O276" s="32"/>
    </row>
    <row r="277" spans="9:15" x14ac:dyDescent="0.25">
      <c r="I277" s="21">
        <v>2124</v>
      </c>
      <c r="J277" s="16">
        <f t="shared" si="28"/>
        <v>21</v>
      </c>
      <c r="K277" s="16">
        <f t="shared" si="29"/>
        <v>9</v>
      </c>
      <c r="L277" s="16">
        <f t="shared" si="30"/>
        <v>2</v>
      </c>
      <c r="M277" s="16">
        <f t="shared" si="31"/>
        <v>33</v>
      </c>
      <c r="N277" s="17" t="str">
        <f t="shared" si="32"/>
        <v>02.04.2124</v>
      </c>
      <c r="O277" s="32"/>
    </row>
    <row r="278" spans="9:15" x14ac:dyDescent="0.25">
      <c r="I278" s="15">
        <v>2123</v>
      </c>
      <c r="J278" s="16">
        <f t="shared" si="28"/>
        <v>21</v>
      </c>
      <c r="K278" s="16">
        <f t="shared" si="29"/>
        <v>20</v>
      </c>
      <c r="L278" s="16">
        <f t="shared" si="30"/>
        <v>0</v>
      </c>
      <c r="M278" s="16">
        <f t="shared" si="31"/>
        <v>42</v>
      </c>
      <c r="N278" s="17" t="str">
        <f t="shared" si="32"/>
        <v>11.04.2123</v>
      </c>
      <c r="O278" s="32"/>
    </row>
    <row r="279" spans="9:15" x14ac:dyDescent="0.25">
      <c r="I279" s="21">
        <v>2122</v>
      </c>
      <c r="J279" s="16">
        <f t="shared" si="28"/>
        <v>21</v>
      </c>
      <c r="K279" s="16">
        <f t="shared" si="29"/>
        <v>1</v>
      </c>
      <c r="L279" s="16">
        <f t="shared" si="30"/>
        <v>6</v>
      </c>
      <c r="M279" s="16">
        <f t="shared" si="31"/>
        <v>29</v>
      </c>
      <c r="N279" s="17" t="str">
        <f t="shared" si="32"/>
        <v>29.03.2122</v>
      </c>
      <c r="O279" s="32"/>
    </row>
    <row r="280" spans="9:15" x14ac:dyDescent="0.25">
      <c r="I280" s="15">
        <v>2121</v>
      </c>
      <c r="J280" s="16">
        <f t="shared" si="28"/>
        <v>21</v>
      </c>
      <c r="K280" s="16">
        <f t="shared" si="29"/>
        <v>12</v>
      </c>
      <c r="L280" s="16">
        <f t="shared" si="30"/>
        <v>3</v>
      </c>
      <c r="M280" s="16">
        <f t="shared" si="31"/>
        <v>37</v>
      </c>
      <c r="N280" s="17" t="str">
        <f t="shared" si="32"/>
        <v>06.04.2121</v>
      </c>
      <c r="O280" s="32"/>
    </row>
    <row r="281" spans="9:15" x14ac:dyDescent="0.25">
      <c r="I281" s="21">
        <v>2120</v>
      </c>
      <c r="J281" s="16">
        <f t="shared" si="28"/>
        <v>21</v>
      </c>
      <c r="K281" s="16">
        <f t="shared" si="29"/>
        <v>23</v>
      </c>
      <c r="L281" s="16">
        <f t="shared" si="30"/>
        <v>0</v>
      </c>
      <c r="M281" s="16">
        <f t="shared" si="31"/>
        <v>45</v>
      </c>
      <c r="N281" s="17" t="str">
        <f t="shared" si="32"/>
        <v>14.04.2120</v>
      </c>
      <c r="O281" s="32"/>
    </row>
    <row r="282" spans="9:15" x14ac:dyDescent="0.25">
      <c r="I282" s="15">
        <v>2119</v>
      </c>
      <c r="J282" s="16">
        <f t="shared" si="28"/>
        <v>21</v>
      </c>
      <c r="K282" s="16">
        <f t="shared" si="29"/>
        <v>4</v>
      </c>
      <c r="L282" s="16">
        <f t="shared" si="30"/>
        <v>0</v>
      </c>
      <c r="M282" s="16">
        <f t="shared" si="31"/>
        <v>26</v>
      </c>
      <c r="N282" s="17" t="str">
        <f t="shared" si="32"/>
        <v>26.03.2119</v>
      </c>
      <c r="O282" s="32"/>
    </row>
    <row r="283" spans="9:15" x14ac:dyDescent="0.25">
      <c r="I283" s="21">
        <v>2118</v>
      </c>
      <c r="J283" s="16">
        <f t="shared" si="28"/>
        <v>21</v>
      </c>
      <c r="K283" s="16">
        <f t="shared" si="29"/>
        <v>15</v>
      </c>
      <c r="L283" s="16">
        <f t="shared" si="30"/>
        <v>4</v>
      </c>
      <c r="M283" s="16">
        <f t="shared" si="31"/>
        <v>41</v>
      </c>
      <c r="N283" s="17" t="str">
        <f t="shared" si="32"/>
        <v>10.04.2118</v>
      </c>
      <c r="O283" s="32"/>
    </row>
    <row r="284" spans="9:15" x14ac:dyDescent="0.25">
      <c r="I284" s="15">
        <v>2117</v>
      </c>
      <c r="J284" s="16">
        <f t="shared" si="28"/>
        <v>21</v>
      </c>
      <c r="K284" s="16">
        <f t="shared" si="29"/>
        <v>26</v>
      </c>
      <c r="L284" s="16">
        <f t="shared" si="30"/>
        <v>1</v>
      </c>
      <c r="M284" s="16">
        <f t="shared" si="31"/>
        <v>49</v>
      </c>
      <c r="N284" s="17" t="str">
        <f t="shared" si="32"/>
        <v>18.04.2117</v>
      </c>
      <c r="O284" s="32"/>
    </row>
    <row r="285" spans="9:15" x14ac:dyDescent="0.25">
      <c r="I285" s="21">
        <v>2116</v>
      </c>
      <c r="J285" s="16">
        <f t="shared" si="28"/>
        <v>21</v>
      </c>
      <c r="K285" s="16">
        <f t="shared" si="29"/>
        <v>7</v>
      </c>
      <c r="L285" s="16">
        <f t="shared" si="30"/>
        <v>0</v>
      </c>
      <c r="M285" s="16">
        <f t="shared" si="31"/>
        <v>29</v>
      </c>
      <c r="N285" s="17" t="str">
        <f t="shared" si="32"/>
        <v>29.03.2116</v>
      </c>
      <c r="O285" s="32"/>
    </row>
    <row r="286" spans="9:15" x14ac:dyDescent="0.25">
      <c r="I286" s="15">
        <v>2115</v>
      </c>
      <c r="J286" s="16">
        <f t="shared" si="28"/>
        <v>21</v>
      </c>
      <c r="K286" s="16">
        <f t="shared" si="29"/>
        <v>18</v>
      </c>
      <c r="L286" s="16">
        <f t="shared" si="30"/>
        <v>5</v>
      </c>
      <c r="M286" s="16">
        <f t="shared" si="31"/>
        <v>45</v>
      </c>
      <c r="N286" s="17" t="str">
        <f t="shared" si="32"/>
        <v>14.04.2115</v>
      </c>
      <c r="O286" s="32"/>
    </row>
    <row r="287" spans="9:15" x14ac:dyDescent="0.25">
      <c r="I287" s="21">
        <v>2114</v>
      </c>
      <c r="J287" s="16">
        <f t="shared" si="28"/>
        <v>21</v>
      </c>
      <c r="K287" s="16">
        <f t="shared" si="29"/>
        <v>29</v>
      </c>
      <c r="L287" s="16">
        <f t="shared" si="30"/>
        <v>2</v>
      </c>
      <c r="M287" s="16">
        <f t="shared" si="31"/>
        <v>53</v>
      </c>
      <c r="N287" s="17" t="str">
        <f t="shared" si="32"/>
        <v>22.04.2114</v>
      </c>
      <c r="O287" s="32"/>
    </row>
    <row r="288" spans="9:15" x14ac:dyDescent="0.25">
      <c r="I288" s="15">
        <v>2113</v>
      </c>
      <c r="J288" s="16">
        <f t="shared" si="28"/>
        <v>21</v>
      </c>
      <c r="K288" s="16">
        <f t="shared" si="29"/>
        <v>10</v>
      </c>
      <c r="L288" s="16">
        <f t="shared" si="30"/>
        <v>1</v>
      </c>
      <c r="M288" s="16">
        <f t="shared" si="31"/>
        <v>33</v>
      </c>
      <c r="N288" s="17" t="str">
        <f t="shared" si="32"/>
        <v>02.04.2113</v>
      </c>
      <c r="O288" s="32"/>
    </row>
    <row r="289" spans="9:15" x14ac:dyDescent="0.25">
      <c r="I289" s="21">
        <v>2112</v>
      </c>
      <c r="J289" s="16">
        <f t="shared" si="28"/>
        <v>21</v>
      </c>
      <c r="K289" s="16">
        <f t="shared" si="29"/>
        <v>21</v>
      </c>
      <c r="L289" s="16">
        <f t="shared" si="30"/>
        <v>5</v>
      </c>
      <c r="M289" s="16">
        <f t="shared" si="31"/>
        <v>48</v>
      </c>
      <c r="N289" s="17" t="str">
        <f t="shared" si="32"/>
        <v>17.04.2112</v>
      </c>
      <c r="O289" s="32"/>
    </row>
    <row r="290" spans="9:15" x14ac:dyDescent="0.25">
      <c r="I290" s="15">
        <v>2111</v>
      </c>
      <c r="J290" s="16">
        <f t="shared" si="28"/>
        <v>21</v>
      </c>
      <c r="K290" s="16">
        <f t="shared" si="29"/>
        <v>2</v>
      </c>
      <c r="L290" s="16">
        <f t="shared" si="30"/>
        <v>5</v>
      </c>
      <c r="M290" s="16">
        <f t="shared" si="31"/>
        <v>29</v>
      </c>
      <c r="N290" s="17" t="str">
        <f t="shared" si="32"/>
        <v>29.03.2111</v>
      </c>
      <c r="O290" s="32"/>
    </row>
    <row r="291" spans="9:15" x14ac:dyDescent="0.25">
      <c r="I291" s="21">
        <v>2110</v>
      </c>
      <c r="J291" s="16">
        <f t="shared" si="28"/>
        <v>21</v>
      </c>
      <c r="K291" s="16">
        <f t="shared" si="29"/>
        <v>13</v>
      </c>
      <c r="L291" s="16">
        <f t="shared" si="30"/>
        <v>2</v>
      </c>
      <c r="M291" s="16">
        <f t="shared" si="31"/>
        <v>37</v>
      </c>
      <c r="N291" s="17" t="str">
        <f t="shared" si="32"/>
        <v>06.04.2110</v>
      </c>
      <c r="O291" s="32"/>
    </row>
    <row r="292" spans="9:15" x14ac:dyDescent="0.25">
      <c r="I292" s="15">
        <v>2109</v>
      </c>
      <c r="J292" s="16">
        <f t="shared" si="28"/>
        <v>21</v>
      </c>
      <c r="K292" s="16">
        <f t="shared" si="29"/>
        <v>24</v>
      </c>
      <c r="L292" s="16">
        <f t="shared" si="30"/>
        <v>6</v>
      </c>
      <c r="M292" s="16">
        <f t="shared" si="31"/>
        <v>52</v>
      </c>
      <c r="N292" s="17" t="str">
        <f t="shared" si="32"/>
        <v>21.04.2109</v>
      </c>
      <c r="O292" s="32"/>
    </row>
    <row r="293" spans="9:15" x14ac:dyDescent="0.25">
      <c r="I293" s="21">
        <v>2108</v>
      </c>
      <c r="J293" s="16">
        <f t="shared" si="28"/>
        <v>21</v>
      </c>
      <c r="K293" s="16">
        <f t="shared" si="29"/>
        <v>6</v>
      </c>
      <c r="L293" s="16">
        <f t="shared" si="30"/>
        <v>4</v>
      </c>
      <c r="M293" s="16">
        <f t="shared" si="31"/>
        <v>32</v>
      </c>
      <c r="N293" s="17" t="str">
        <f t="shared" si="32"/>
        <v>01.04.2108</v>
      </c>
      <c r="O293" s="32"/>
    </row>
    <row r="294" spans="9:15" x14ac:dyDescent="0.25">
      <c r="I294" s="15">
        <v>2107</v>
      </c>
      <c r="J294" s="16">
        <f t="shared" ref="J294:J357" si="33">INT(I294/100)</f>
        <v>21</v>
      </c>
      <c r="K294" s="16">
        <f t="shared" ref="K294:K357" si="34">MOD(19*MOD(I294,19)+J294-INT(J294/4)-INT((J294-INT((J294+8)/25)+1)/3)+15,30)</f>
        <v>17</v>
      </c>
      <c r="L294" s="16">
        <f t="shared" ref="L294:L357" si="35">MOD(32+2*MOD(J294,4)+2*INT(MOD(I294,100)/4)-K294-MOD(MOD(I294,100),4),7)</f>
        <v>2</v>
      </c>
      <c r="M294" s="16">
        <f t="shared" ref="M294:M357" si="36">K294+L294-7*INT((MOD(I294,19)+11*K294+22*L294)/451)+22</f>
        <v>41</v>
      </c>
      <c r="N294" s="17" t="str">
        <f t="shared" ref="N294:N357" si="37">TEXT(IF(M294-31 &lt; 1,M294,M294-31),"0#")&amp;"."&amp;IF(M294 &gt; 31,"04.","03.")&amp;I294</f>
        <v>10.04.2107</v>
      </c>
      <c r="O294" s="32"/>
    </row>
    <row r="295" spans="9:15" x14ac:dyDescent="0.25">
      <c r="I295" s="21">
        <v>2106</v>
      </c>
      <c r="J295" s="16">
        <f t="shared" si="33"/>
        <v>21</v>
      </c>
      <c r="K295" s="16">
        <f t="shared" si="34"/>
        <v>28</v>
      </c>
      <c r="L295" s="16">
        <f t="shared" si="35"/>
        <v>6</v>
      </c>
      <c r="M295" s="16">
        <f t="shared" si="36"/>
        <v>49</v>
      </c>
      <c r="N295" s="17" t="str">
        <f t="shared" si="37"/>
        <v>18.04.2106</v>
      </c>
      <c r="O295" s="32"/>
    </row>
    <row r="296" spans="9:15" x14ac:dyDescent="0.25">
      <c r="I296" s="15">
        <v>2105</v>
      </c>
      <c r="J296" s="16">
        <f t="shared" si="33"/>
        <v>21</v>
      </c>
      <c r="K296" s="16">
        <f t="shared" si="34"/>
        <v>9</v>
      </c>
      <c r="L296" s="16">
        <f t="shared" si="35"/>
        <v>5</v>
      </c>
      <c r="M296" s="16">
        <f t="shared" si="36"/>
        <v>36</v>
      </c>
      <c r="N296" s="17" t="str">
        <f t="shared" si="37"/>
        <v>05.04.2105</v>
      </c>
      <c r="O296" s="32"/>
    </row>
    <row r="297" spans="9:15" x14ac:dyDescent="0.25">
      <c r="I297" s="21">
        <v>2104</v>
      </c>
      <c r="J297" s="16">
        <f t="shared" si="33"/>
        <v>21</v>
      </c>
      <c r="K297" s="16">
        <f t="shared" si="34"/>
        <v>20</v>
      </c>
      <c r="L297" s="16">
        <f t="shared" si="35"/>
        <v>2</v>
      </c>
      <c r="M297" s="16">
        <f t="shared" si="36"/>
        <v>44</v>
      </c>
      <c r="N297" s="17" t="str">
        <f t="shared" si="37"/>
        <v>13.04.2104</v>
      </c>
      <c r="O297" s="32"/>
    </row>
    <row r="298" spans="9:15" x14ac:dyDescent="0.25">
      <c r="I298" s="15">
        <v>2103</v>
      </c>
      <c r="J298" s="16">
        <f t="shared" si="33"/>
        <v>21</v>
      </c>
      <c r="K298" s="16">
        <f t="shared" si="34"/>
        <v>1</v>
      </c>
      <c r="L298" s="16">
        <f t="shared" si="35"/>
        <v>2</v>
      </c>
      <c r="M298" s="16">
        <f t="shared" si="36"/>
        <v>25</v>
      </c>
      <c r="N298" s="17" t="str">
        <f t="shared" si="37"/>
        <v>25.03.2103</v>
      </c>
      <c r="O298" s="32"/>
    </row>
    <row r="299" spans="9:15" x14ac:dyDescent="0.25">
      <c r="I299" s="21">
        <v>2102</v>
      </c>
      <c r="J299" s="16">
        <f t="shared" si="33"/>
        <v>21</v>
      </c>
      <c r="K299" s="16">
        <f t="shared" si="34"/>
        <v>12</v>
      </c>
      <c r="L299" s="16">
        <f t="shared" si="35"/>
        <v>6</v>
      </c>
      <c r="M299" s="16">
        <f t="shared" si="36"/>
        <v>40</v>
      </c>
      <c r="N299" s="17" t="str">
        <f t="shared" si="37"/>
        <v>09.04.2102</v>
      </c>
      <c r="O299" s="32"/>
    </row>
    <row r="300" spans="9:15" x14ac:dyDescent="0.25">
      <c r="I300" s="15">
        <v>2101</v>
      </c>
      <c r="J300" s="16">
        <f t="shared" si="33"/>
        <v>21</v>
      </c>
      <c r="K300" s="16">
        <f t="shared" si="34"/>
        <v>23</v>
      </c>
      <c r="L300" s="16">
        <f t="shared" si="35"/>
        <v>3</v>
      </c>
      <c r="M300" s="16">
        <f t="shared" si="36"/>
        <v>48</v>
      </c>
      <c r="N300" s="17" t="str">
        <f t="shared" si="37"/>
        <v>17.04.2101</v>
      </c>
      <c r="O300" s="32"/>
    </row>
    <row r="301" spans="9:15" x14ac:dyDescent="0.25">
      <c r="I301" s="21">
        <v>2100</v>
      </c>
      <c r="J301" s="16">
        <f t="shared" si="33"/>
        <v>21</v>
      </c>
      <c r="K301" s="16">
        <f t="shared" si="34"/>
        <v>4</v>
      </c>
      <c r="L301" s="16">
        <f t="shared" si="35"/>
        <v>2</v>
      </c>
      <c r="M301" s="16">
        <f t="shared" si="36"/>
        <v>28</v>
      </c>
      <c r="N301" s="17" t="str">
        <f t="shared" si="37"/>
        <v>28.03.2100</v>
      </c>
      <c r="O301" s="32"/>
    </row>
    <row r="302" spans="9:15" x14ac:dyDescent="0.25">
      <c r="I302" s="15">
        <v>2099</v>
      </c>
      <c r="J302" s="16">
        <f t="shared" si="33"/>
        <v>20</v>
      </c>
      <c r="K302" s="16">
        <f t="shared" si="34"/>
        <v>15</v>
      </c>
      <c r="L302" s="16">
        <f t="shared" si="35"/>
        <v>6</v>
      </c>
      <c r="M302" s="16">
        <f t="shared" si="36"/>
        <v>43</v>
      </c>
      <c r="N302" s="17" t="str">
        <f t="shared" si="37"/>
        <v>12.04.2099</v>
      </c>
      <c r="O302" s="32"/>
    </row>
    <row r="303" spans="9:15" x14ac:dyDescent="0.25">
      <c r="I303" s="21">
        <v>2098</v>
      </c>
      <c r="J303" s="16">
        <f t="shared" si="33"/>
        <v>20</v>
      </c>
      <c r="K303" s="16">
        <f t="shared" si="34"/>
        <v>26</v>
      </c>
      <c r="L303" s="16">
        <f t="shared" si="35"/>
        <v>3</v>
      </c>
      <c r="M303" s="16">
        <f t="shared" si="36"/>
        <v>51</v>
      </c>
      <c r="N303" s="17" t="str">
        <f t="shared" si="37"/>
        <v>20.04.2098</v>
      </c>
      <c r="O303" s="32"/>
    </row>
    <row r="304" spans="9:15" x14ac:dyDescent="0.25">
      <c r="I304" s="15">
        <v>2097</v>
      </c>
      <c r="J304" s="16">
        <f t="shared" si="33"/>
        <v>20</v>
      </c>
      <c r="K304" s="16">
        <f t="shared" si="34"/>
        <v>7</v>
      </c>
      <c r="L304" s="16">
        <f t="shared" si="35"/>
        <v>2</v>
      </c>
      <c r="M304" s="16">
        <f t="shared" si="36"/>
        <v>31</v>
      </c>
      <c r="N304" s="17" t="str">
        <f t="shared" si="37"/>
        <v>31.03.2097</v>
      </c>
      <c r="O304" s="32"/>
    </row>
    <row r="305" spans="9:15" x14ac:dyDescent="0.25">
      <c r="I305" s="21">
        <v>2096</v>
      </c>
      <c r="J305" s="16">
        <f t="shared" si="33"/>
        <v>20</v>
      </c>
      <c r="K305" s="16">
        <f t="shared" si="34"/>
        <v>18</v>
      </c>
      <c r="L305" s="16">
        <f t="shared" si="35"/>
        <v>6</v>
      </c>
      <c r="M305" s="16">
        <f t="shared" si="36"/>
        <v>46</v>
      </c>
      <c r="N305" s="17" t="str">
        <f t="shared" si="37"/>
        <v>15.04.2096</v>
      </c>
      <c r="O305" s="32"/>
    </row>
    <row r="306" spans="9:15" x14ac:dyDescent="0.25">
      <c r="I306" s="15">
        <v>2095</v>
      </c>
      <c r="J306" s="16">
        <f t="shared" si="33"/>
        <v>20</v>
      </c>
      <c r="K306" s="16">
        <f t="shared" si="34"/>
        <v>29</v>
      </c>
      <c r="L306" s="16">
        <f t="shared" si="35"/>
        <v>4</v>
      </c>
      <c r="M306" s="16">
        <f t="shared" si="36"/>
        <v>55</v>
      </c>
      <c r="N306" s="17" t="str">
        <f t="shared" si="37"/>
        <v>24.04.2095</v>
      </c>
      <c r="O306" s="32"/>
    </row>
    <row r="307" spans="9:15" x14ac:dyDescent="0.25">
      <c r="I307" s="21">
        <v>2094</v>
      </c>
      <c r="J307" s="16">
        <f t="shared" si="33"/>
        <v>20</v>
      </c>
      <c r="K307" s="16">
        <f t="shared" si="34"/>
        <v>10</v>
      </c>
      <c r="L307" s="16">
        <f t="shared" si="35"/>
        <v>3</v>
      </c>
      <c r="M307" s="16">
        <f t="shared" si="36"/>
        <v>35</v>
      </c>
      <c r="N307" s="17" t="str">
        <f t="shared" si="37"/>
        <v>04.04.2094</v>
      </c>
      <c r="O307" s="32"/>
    </row>
    <row r="308" spans="9:15" x14ac:dyDescent="0.25">
      <c r="I308" s="15">
        <v>2093</v>
      </c>
      <c r="J308" s="16">
        <f t="shared" si="33"/>
        <v>20</v>
      </c>
      <c r="K308" s="16">
        <f t="shared" si="34"/>
        <v>21</v>
      </c>
      <c r="L308" s="16">
        <f t="shared" si="35"/>
        <v>0</v>
      </c>
      <c r="M308" s="16">
        <f t="shared" si="36"/>
        <v>43</v>
      </c>
      <c r="N308" s="17" t="str">
        <f t="shared" si="37"/>
        <v>12.04.2093</v>
      </c>
      <c r="O308" s="32"/>
    </row>
    <row r="309" spans="9:15" x14ac:dyDescent="0.25">
      <c r="I309" s="21">
        <v>2092</v>
      </c>
      <c r="J309" s="16">
        <f t="shared" si="33"/>
        <v>20</v>
      </c>
      <c r="K309" s="16">
        <f t="shared" si="34"/>
        <v>2</v>
      </c>
      <c r="L309" s="16">
        <f t="shared" si="35"/>
        <v>6</v>
      </c>
      <c r="M309" s="16">
        <f t="shared" si="36"/>
        <v>30</v>
      </c>
      <c r="N309" s="17" t="str">
        <f t="shared" si="37"/>
        <v>30.03.2092</v>
      </c>
      <c r="O309" s="32"/>
    </row>
    <row r="310" spans="9:15" x14ac:dyDescent="0.25">
      <c r="I310" s="15">
        <v>2091</v>
      </c>
      <c r="J310" s="16">
        <f t="shared" si="33"/>
        <v>20</v>
      </c>
      <c r="K310" s="16">
        <f t="shared" si="34"/>
        <v>13</v>
      </c>
      <c r="L310" s="16">
        <f t="shared" si="35"/>
        <v>4</v>
      </c>
      <c r="M310" s="16">
        <f t="shared" si="36"/>
        <v>39</v>
      </c>
      <c r="N310" s="17" t="str">
        <f t="shared" si="37"/>
        <v>08.04.2091</v>
      </c>
      <c r="O310" s="32"/>
    </row>
    <row r="311" spans="9:15" x14ac:dyDescent="0.25">
      <c r="I311" s="21">
        <v>2090</v>
      </c>
      <c r="J311" s="16">
        <f t="shared" si="33"/>
        <v>20</v>
      </c>
      <c r="K311" s="16">
        <f t="shared" si="34"/>
        <v>24</v>
      </c>
      <c r="L311" s="16">
        <f t="shared" si="35"/>
        <v>1</v>
      </c>
      <c r="M311" s="16">
        <f t="shared" si="36"/>
        <v>47</v>
      </c>
      <c r="N311" s="17" t="str">
        <f t="shared" si="37"/>
        <v>16.04.2090</v>
      </c>
      <c r="O311" s="32"/>
    </row>
    <row r="312" spans="9:15" x14ac:dyDescent="0.25">
      <c r="I312" s="15">
        <v>2089</v>
      </c>
      <c r="J312" s="16">
        <f t="shared" si="33"/>
        <v>20</v>
      </c>
      <c r="K312" s="16">
        <f t="shared" si="34"/>
        <v>6</v>
      </c>
      <c r="L312" s="16">
        <f t="shared" si="35"/>
        <v>6</v>
      </c>
      <c r="M312" s="16">
        <f t="shared" si="36"/>
        <v>34</v>
      </c>
      <c r="N312" s="17" t="str">
        <f t="shared" si="37"/>
        <v>03.04.2089</v>
      </c>
      <c r="O312" s="32"/>
    </row>
    <row r="313" spans="9:15" x14ac:dyDescent="0.25">
      <c r="I313" s="21">
        <v>2088</v>
      </c>
      <c r="J313" s="16">
        <f t="shared" si="33"/>
        <v>20</v>
      </c>
      <c r="K313" s="16">
        <f t="shared" si="34"/>
        <v>17</v>
      </c>
      <c r="L313" s="16">
        <f t="shared" si="35"/>
        <v>3</v>
      </c>
      <c r="M313" s="16">
        <f t="shared" si="36"/>
        <v>42</v>
      </c>
      <c r="N313" s="17" t="str">
        <f t="shared" si="37"/>
        <v>11.04.2088</v>
      </c>
      <c r="O313" s="32"/>
    </row>
    <row r="314" spans="9:15" x14ac:dyDescent="0.25">
      <c r="I314" s="15">
        <v>2087</v>
      </c>
      <c r="J314" s="16">
        <f t="shared" si="33"/>
        <v>20</v>
      </c>
      <c r="K314" s="16">
        <f t="shared" si="34"/>
        <v>28</v>
      </c>
      <c r="L314" s="16">
        <f t="shared" si="35"/>
        <v>1</v>
      </c>
      <c r="M314" s="16">
        <f t="shared" si="36"/>
        <v>51</v>
      </c>
      <c r="N314" s="17" t="str">
        <f t="shared" si="37"/>
        <v>20.04.2087</v>
      </c>
      <c r="O314" s="32"/>
    </row>
    <row r="315" spans="9:15" x14ac:dyDescent="0.25">
      <c r="I315" s="21">
        <v>2086</v>
      </c>
      <c r="J315" s="16">
        <f t="shared" si="33"/>
        <v>20</v>
      </c>
      <c r="K315" s="16">
        <f t="shared" si="34"/>
        <v>9</v>
      </c>
      <c r="L315" s="16">
        <f t="shared" si="35"/>
        <v>0</v>
      </c>
      <c r="M315" s="16">
        <f t="shared" si="36"/>
        <v>31</v>
      </c>
      <c r="N315" s="17" t="str">
        <f t="shared" si="37"/>
        <v>31.03.2086</v>
      </c>
      <c r="O315" s="32"/>
    </row>
    <row r="316" spans="9:15" x14ac:dyDescent="0.25">
      <c r="I316" s="15">
        <v>2085</v>
      </c>
      <c r="J316" s="16">
        <f t="shared" si="33"/>
        <v>20</v>
      </c>
      <c r="K316" s="16">
        <f t="shared" si="34"/>
        <v>20</v>
      </c>
      <c r="L316" s="16">
        <f t="shared" si="35"/>
        <v>4</v>
      </c>
      <c r="M316" s="16">
        <f t="shared" si="36"/>
        <v>46</v>
      </c>
      <c r="N316" s="17" t="str">
        <f t="shared" si="37"/>
        <v>15.04.2085</v>
      </c>
      <c r="O316" s="32"/>
    </row>
    <row r="317" spans="9:15" x14ac:dyDescent="0.25">
      <c r="I317" s="21">
        <v>2084</v>
      </c>
      <c r="J317" s="16">
        <f t="shared" si="33"/>
        <v>20</v>
      </c>
      <c r="K317" s="16">
        <f t="shared" si="34"/>
        <v>1</v>
      </c>
      <c r="L317" s="16">
        <f t="shared" si="35"/>
        <v>3</v>
      </c>
      <c r="M317" s="16">
        <f t="shared" si="36"/>
        <v>26</v>
      </c>
      <c r="N317" s="17" t="str">
        <f t="shared" si="37"/>
        <v>26.03.2084</v>
      </c>
      <c r="O317" s="32"/>
    </row>
    <row r="318" spans="9:15" x14ac:dyDescent="0.25">
      <c r="I318" s="15">
        <v>2083</v>
      </c>
      <c r="J318" s="16">
        <f t="shared" si="33"/>
        <v>20</v>
      </c>
      <c r="K318" s="16">
        <f t="shared" si="34"/>
        <v>12</v>
      </c>
      <c r="L318" s="16">
        <f t="shared" si="35"/>
        <v>1</v>
      </c>
      <c r="M318" s="16">
        <f t="shared" si="36"/>
        <v>35</v>
      </c>
      <c r="N318" s="17" t="str">
        <f t="shared" si="37"/>
        <v>04.04.2083</v>
      </c>
      <c r="O318" s="32"/>
    </row>
    <row r="319" spans="9:15" x14ac:dyDescent="0.25">
      <c r="I319" s="21">
        <v>2082</v>
      </c>
      <c r="J319" s="16">
        <f t="shared" si="33"/>
        <v>20</v>
      </c>
      <c r="K319" s="16">
        <f t="shared" si="34"/>
        <v>23</v>
      </c>
      <c r="L319" s="16">
        <f t="shared" si="35"/>
        <v>5</v>
      </c>
      <c r="M319" s="16">
        <f t="shared" si="36"/>
        <v>50</v>
      </c>
      <c r="N319" s="17" t="str">
        <f t="shared" si="37"/>
        <v>19.04.2082</v>
      </c>
      <c r="O319" s="32"/>
    </row>
    <row r="320" spans="9:15" x14ac:dyDescent="0.25">
      <c r="I320" s="15">
        <v>2081</v>
      </c>
      <c r="J320" s="16">
        <f t="shared" si="33"/>
        <v>20</v>
      </c>
      <c r="K320" s="16">
        <f t="shared" si="34"/>
        <v>4</v>
      </c>
      <c r="L320" s="16">
        <f t="shared" si="35"/>
        <v>4</v>
      </c>
      <c r="M320" s="16">
        <f t="shared" si="36"/>
        <v>30</v>
      </c>
      <c r="N320" s="17" t="str">
        <f t="shared" si="37"/>
        <v>30.03.2081</v>
      </c>
      <c r="O320" s="32"/>
    </row>
    <row r="321" spans="9:15" x14ac:dyDescent="0.25">
      <c r="I321" s="21">
        <v>2080</v>
      </c>
      <c r="J321" s="16">
        <f t="shared" si="33"/>
        <v>20</v>
      </c>
      <c r="K321" s="16">
        <f t="shared" si="34"/>
        <v>15</v>
      </c>
      <c r="L321" s="16">
        <f t="shared" si="35"/>
        <v>1</v>
      </c>
      <c r="M321" s="16">
        <f t="shared" si="36"/>
        <v>38</v>
      </c>
      <c r="N321" s="17" t="str">
        <f t="shared" si="37"/>
        <v>07.04.2080</v>
      </c>
      <c r="O321" s="32"/>
    </row>
    <row r="322" spans="9:15" x14ac:dyDescent="0.25">
      <c r="I322" s="15">
        <v>2079</v>
      </c>
      <c r="J322" s="16">
        <f t="shared" si="33"/>
        <v>20</v>
      </c>
      <c r="K322" s="16">
        <f t="shared" si="34"/>
        <v>26</v>
      </c>
      <c r="L322" s="16">
        <f t="shared" si="35"/>
        <v>6</v>
      </c>
      <c r="M322" s="16">
        <f t="shared" si="36"/>
        <v>54</v>
      </c>
      <c r="N322" s="17" t="str">
        <f t="shared" si="37"/>
        <v>23.04.2079</v>
      </c>
      <c r="O322" s="32"/>
    </row>
    <row r="323" spans="9:15" x14ac:dyDescent="0.25">
      <c r="I323" s="21">
        <v>2078</v>
      </c>
      <c r="J323" s="16">
        <f t="shared" si="33"/>
        <v>20</v>
      </c>
      <c r="K323" s="16">
        <f t="shared" si="34"/>
        <v>7</v>
      </c>
      <c r="L323" s="16">
        <f t="shared" si="35"/>
        <v>5</v>
      </c>
      <c r="M323" s="16">
        <f t="shared" si="36"/>
        <v>34</v>
      </c>
      <c r="N323" s="17" t="str">
        <f t="shared" si="37"/>
        <v>03.04.2078</v>
      </c>
      <c r="O323" s="32"/>
    </row>
    <row r="324" spans="9:15" x14ac:dyDescent="0.25">
      <c r="I324" s="15">
        <v>2077</v>
      </c>
      <c r="J324" s="16">
        <f t="shared" si="33"/>
        <v>20</v>
      </c>
      <c r="K324" s="16">
        <f t="shared" si="34"/>
        <v>18</v>
      </c>
      <c r="L324" s="16">
        <f t="shared" si="35"/>
        <v>2</v>
      </c>
      <c r="M324" s="16">
        <f t="shared" si="36"/>
        <v>42</v>
      </c>
      <c r="N324" s="17" t="str">
        <f t="shared" si="37"/>
        <v>11.04.2077</v>
      </c>
      <c r="O324" s="32"/>
    </row>
    <row r="325" spans="9:15" x14ac:dyDescent="0.25">
      <c r="I325" s="21">
        <v>2076</v>
      </c>
      <c r="J325" s="16">
        <f t="shared" si="33"/>
        <v>20</v>
      </c>
      <c r="K325" s="16">
        <f t="shared" si="34"/>
        <v>29</v>
      </c>
      <c r="L325" s="16">
        <f t="shared" si="35"/>
        <v>6</v>
      </c>
      <c r="M325" s="16">
        <f t="shared" si="36"/>
        <v>50</v>
      </c>
      <c r="N325" s="17" t="str">
        <f t="shared" si="37"/>
        <v>19.04.2076</v>
      </c>
      <c r="O325" s="32"/>
    </row>
    <row r="326" spans="9:15" x14ac:dyDescent="0.25">
      <c r="I326" s="15">
        <v>2075</v>
      </c>
      <c r="J326" s="16">
        <f t="shared" si="33"/>
        <v>20</v>
      </c>
      <c r="K326" s="16">
        <f t="shared" si="34"/>
        <v>10</v>
      </c>
      <c r="L326" s="16">
        <f t="shared" si="35"/>
        <v>6</v>
      </c>
      <c r="M326" s="16">
        <f t="shared" si="36"/>
        <v>38</v>
      </c>
      <c r="N326" s="17" t="str">
        <f t="shared" si="37"/>
        <v>07.04.2075</v>
      </c>
      <c r="O326" s="32"/>
    </row>
    <row r="327" spans="9:15" x14ac:dyDescent="0.25">
      <c r="I327" s="21">
        <v>2074</v>
      </c>
      <c r="J327" s="16">
        <f t="shared" si="33"/>
        <v>20</v>
      </c>
      <c r="K327" s="16">
        <f t="shared" si="34"/>
        <v>21</v>
      </c>
      <c r="L327" s="16">
        <f t="shared" si="35"/>
        <v>3</v>
      </c>
      <c r="M327" s="16">
        <f t="shared" si="36"/>
        <v>46</v>
      </c>
      <c r="N327" s="17" t="str">
        <f t="shared" si="37"/>
        <v>15.04.2074</v>
      </c>
      <c r="O327" s="32"/>
    </row>
    <row r="328" spans="9:15" x14ac:dyDescent="0.25">
      <c r="I328" s="15">
        <v>2073</v>
      </c>
      <c r="J328" s="16">
        <f t="shared" si="33"/>
        <v>20</v>
      </c>
      <c r="K328" s="16">
        <f t="shared" si="34"/>
        <v>2</v>
      </c>
      <c r="L328" s="16">
        <f t="shared" si="35"/>
        <v>2</v>
      </c>
      <c r="M328" s="16">
        <f t="shared" si="36"/>
        <v>26</v>
      </c>
      <c r="N328" s="17" t="str">
        <f t="shared" si="37"/>
        <v>26.03.2073</v>
      </c>
      <c r="O328" s="32"/>
    </row>
    <row r="329" spans="9:15" x14ac:dyDescent="0.25">
      <c r="I329" s="21">
        <v>2072</v>
      </c>
      <c r="J329" s="16">
        <f t="shared" si="33"/>
        <v>20</v>
      </c>
      <c r="K329" s="16">
        <f t="shared" si="34"/>
        <v>13</v>
      </c>
      <c r="L329" s="16">
        <f t="shared" si="35"/>
        <v>6</v>
      </c>
      <c r="M329" s="16">
        <f t="shared" si="36"/>
        <v>41</v>
      </c>
      <c r="N329" s="17" t="str">
        <f t="shared" si="37"/>
        <v>10.04.2072</v>
      </c>
      <c r="O329" s="32"/>
    </row>
    <row r="330" spans="9:15" x14ac:dyDescent="0.25">
      <c r="I330" s="15">
        <v>2071</v>
      </c>
      <c r="J330" s="16">
        <f t="shared" si="33"/>
        <v>20</v>
      </c>
      <c r="K330" s="16">
        <f t="shared" si="34"/>
        <v>24</v>
      </c>
      <c r="L330" s="16">
        <f t="shared" si="35"/>
        <v>4</v>
      </c>
      <c r="M330" s="16">
        <f t="shared" si="36"/>
        <v>50</v>
      </c>
      <c r="N330" s="17" t="str">
        <f t="shared" si="37"/>
        <v>19.04.2071</v>
      </c>
      <c r="O330" s="32"/>
    </row>
    <row r="331" spans="9:15" x14ac:dyDescent="0.25">
      <c r="I331" s="21">
        <v>2070</v>
      </c>
      <c r="J331" s="16">
        <f t="shared" si="33"/>
        <v>20</v>
      </c>
      <c r="K331" s="16">
        <f t="shared" si="34"/>
        <v>6</v>
      </c>
      <c r="L331" s="16">
        <f t="shared" si="35"/>
        <v>2</v>
      </c>
      <c r="M331" s="16">
        <f t="shared" si="36"/>
        <v>30</v>
      </c>
      <c r="N331" s="17" t="str">
        <f t="shared" si="37"/>
        <v>30.03.2070</v>
      </c>
      <c r="O331" s="32"/>
    </row>
    <row r="332" spans="9:15" x14ac:dyDescent="0.25">
      <c r="I332" s="15">
        <v>2069</v>
      </c>
      <c r="J332" s="16">
        <f t="shared" si="33"/>
        <v>20</v>
      </c>
      <c r="K332" s="16">
        <f t="shared" si="34"/>
        <v>17</v>
      </c>
      <c r="L332" s="16">
        <f t="shared" si="35"/>
        <v>6</v>
      </c>
      <c r="M332" s="16">
        <f t="shared" si="36"/>
        <v>45</v>
      </c>
      <c r="N332" s="17" t="str">
        <f t="shared" si="37"/>
        <v>14.04.2069</v>
      </c>
      <c r="O332" s="32"/>
    </row>
    <row r="333" spans="9:15" x14ac:dyDescent="0.25">
      <c r="I333" s="21">
        <v>2068</v>
      </c>
      <c r="J333" s="16">
        <f t="shared" si="33"/>
        <v>20</v>
      </c>
      <c r="K333" s="16">
        <f t="shared" si="34"/>
        <v>28</v>
      </c>
      <c r="L333" s="16">
        <f t="shared" si="35"/>
        <v>3</v>
      </c>
      <c r="M333" s="16">
        <f t="shared" si="36"/>
        <v>53</v>
      </c>
      <c r="N333" s="17" t="str">
        <f t="shared" si="37"/>
        <v>22.04.2068</v>
      </c>
      <c r="O333" s="32"/>
    </row>
    <row r="334" spans="9:15" x14ac:dyDescent="0.25">
      <c r="I334" s="15">
        <v>2067</v>
      </c>
      <c r="J334" s="16">
        <f t="shared" si="33"/>
        <v>20</v>
      </c>
      <c r="K334" s="16">
        <f t="shared" si="34"/>
        <v>9</v>
      </c>
      <c r="L334" s="16">
        <f t="shared" si="35"/>
        <v>3</v>
      </c>
      <c r="M334" s="16">
        <f t="shared" si="36"/>
        <v>34</v>
      </c>
      <c r="N334" s="17" t="str">
        <f t="shared" si="37"/>
        <v>03.04.2067</v>
      </c>
      <c r="O334" s="32"/>
    </row>
    <row r="335" spans="9:15" x14ac:dyDescent="0.25">
      <c r="I335" s="21">
        <v>2066</v>
      </c>
      <c r="J335" s="16">
        <f t="shared" si="33"/>
        <v>20</v>
      </c>
      <c r="K335" s="16">
        <f t="shared" si="34"/>
        <v>20</v>
      </c>
      <c r="L335" s="16">
        <f t="shared" si="35"/>
        <v>0</v>
      </c>
      <c r="M335" s="16">
        <f t="shared" si="36"/>
        <v>42</v>
      </c>
      <c r="N335" s="17" t="str">
        <f t="shared" si="37"/>
        <v>11.04.2066</v>
      </c>
      <c r="O335" s="32"/>
    </row>
    <row r="336" spans="9:15" x14ac:dyDescent="0.25">
      <c r="I336" s="15">
        <v>2065</v>
      </c>
      <c r="J336" s="16">
        <f t="shared" si="33"/>
        <v>20</v>
      </c>
      <c r="K336" s="16">
        <f t="shared" si="34"/>
        <v>1</v>
      </c>
      <c r="L336" s="16">
        <f t="shared" si="35"/>
        <v>6</v>
      </c>
      <c r="M336" s="16">
        <f t="shared" si="36"/>
        <v>29</v>
      </c>
      <c r="N336" s="17" t="str">
        <f t="shared" si="37"/>
        <v>29.03.2065</v>
      </c>
      <c r="O336" s="32"/>
    </row>
    <row r="337" spans="9:15" x14ac:dyDescent="0.25">
      <c r="I337" s="21">
        <v>2064</v>
      </c>
      <c r="J337" s="16">
        <f t="shared" si="33"/>
        <v>20</v>
      </c>
      <c r="K337" s="16">
        <f t="shared" si="34"/>
        <v>12</v>
      </c>
      <c r="L337" s="16">
        <f t="shared" si="35"/>
        <v>3</v>
      </c>
      <c r="M337" s="16">
        <f t="shared" si="36"/>
        <v>37</v>
      </c>
      <c r="N337" s="17" t="str">
        <f t="shared" si="37"/>
        <v>06.04.2064</v>
      </c>
      <c r="O337" s="32"/>
    </row>
    <row r="338" spans="9:15" x14ac:dyDescent="0.25">
      <c r="I338" s="15">
        <v>2063</v>
      </c>
      <c r="J338" s="16">
        <f t="shared" si="33"/>
        <v>20</v>
      </c>
      <c r="K338" s="16">
        <f t="shared" si="34"/>
        <v>23</v>
      </c>
      <c r="L338" s="16">
        <f t="shared" si="35"/>
        <v>1</v>
      </c>
      <c r="M338" s="16">
        <f t="shared" si="36"/>
        <v>46</v>
      </c>
      <c r="N338" s="17" t="str">
        <f t="shared" si="37"/>
        <v>15.04.2063</v>
      </c>
      <c r="O338" s="32"/>
    </row>
    <row r="339" spans="9:15" x14ac:dyDescent="0.25">
      <c r="I339" s="21">
        <v>2062</v>
      </c>
      <c r="J339" s="16">
        <f t="shared" si="33"/>
        <v>20</v>
      </c>
      <c r="K339" s="16">
        <f t="shared" si="34"/>
        <v>4</v>
      </c>
      <c r="L339" s="16">
        <f t="shared" si="35"/>
        <v>0</v>
      </c>
      <c r="M339" s="16">
        <f t="shared" si="36"/>
        <v>26</v>
      </c>
      <c r="N339" s="17" t="str">
        <f t="shared" si="37"/>
        <v>26.03.2062</v>
      </c>
      <c r="O339" s="32"/>
    </row>
    <row r="340" spans="9:15" x14ac:dyDescent="0.25">
      <c r="I340" s="15">
        <v>2061</v>
      </c>
      <c r="J340" s="16">
        <f t="shared" si="33"/>
        <v>20</v>
      </c>
      <c r="K340" s="16">
        <f t="shared" si="34"/>
        <v>15</v>
      </c>
      <c r="L340" s="16">
        <f t="shared" si="35"/>
        <v>4</v>
      </c>
      <c r="M340" s="16">
        <f t="shared" si="36"/>
        <v>41</v>
      </c>
      <c r="N340" s="17" t="str">
        <f t="shared" si="37"/>
        <v>10.04.2061</v>
      </c>
      <c r="O340" s="32"/>
    </row>
    <row r="341" spans="9:15" x14ac:dyDescent="0.25">
      <c r="I341" s="21">
        <v>2060</v>
      </c>
      <c r="J341" s="16">
        <f t="shared" si="33"/>
        <v>20</v>
      </c>
      <c r="K341" s="16">
        <f t="shared" si="34"/>
        <v>26</v>
      </c>
      <c r="L341" s="16">
        <f t="shared" si="35"/>
        <v>1</v>
      </c>
      <c r="M341" s="16">
        <f t="shared" si="36"/>
        <v>49</v>
      </c>
      <c r="N341" s="17" t="str">
        <f t="shared" si="37"/>
        <v>18.04.2060</v>
      </c>
      <c r="O341" s="32"/>
    </row>
    <row r="342" spans="9:15" x14ac:dyDescent="0.25">
      <c r="I342" s="15">
        <v>2059</v>
      </c>
      <c r="J342" s="16">
        <f t="shared" si="33"/>
        <v>20</v>
      </c>
      <c r="K342" s="16">
        <f t="shared" si="34"/>
        <v>7</v>
      </c>
      <c r="L342" s="16">
        <f t="shared" si="35"/>
        <v>1</v>
      </c>
      <c r="M342" s="16">
        <f t="shared" si="36"/>
        <v>30</v>
      </c>
      <c r="N342" s="17" t="str">
        <f t="shared" si="37"/>
        <v>30.03.2059</v>
      </c>
      <c r="O342" s="32"/>
    </row>
    <row r="343" spans="9:15" x14ac:dyDescent="0.25">
      <c r="I343" s="21">
        <v>2058</v>
      </c>
      <c r="J343" s="16">
        <f t="shared" si="33"/>
        <v>20</v>
      </c>
      <c r="K343" s="16">
        <f t="shared" si="34"/>
        <v>18</v>
      </c>
      <c r="L343" s="16">
        <f t="shared" si="35"/>
        <v>5</v>
      </c>
      <c r="M343" s="16">
        <f t="shared" si="36"/>
        <v>45</v>
      </c>
      <c r="N343" s="17" t="str">
        <f t="shared" si="37"/>
        <v>14.04.2058</v>
      </c>
      <c r="O343" s="32"/>
    </row>
    <row r="344" spans="9:15" x14ac:dyDescent="0.25">
      <c r="I344" s="15">
        <v>2057</v>
      </c>
      <c r="J344" s="16">
        <f t="shared" si="33"/>
        <v>20</v>
      </c>
      <c r="K344" s="16">
        <f t="shared" si="34"/>
        <v>29</v>
      </c>
      <c r="L344" s="16">
        <f t="shared" si="35"/>
        <v>2</v>
      </c>
      <c r="M344" s="16">
        <f t="shared" si="36"/>
        <v>53</v>
      </c>
      <c r="N344" s="17" t="str">
        <f t="shared" si="37"/>
        <v>22.04.2057</v>
      </c>
      <c r="O344" s="32"/>
    </row>
    <row r="345" spans="9:15" x14ac:dyDescent="0.25">
      <c r="I345" s="21">
        <v>2056</v>
      </c>
      <c r="J345" s="16">
        <f t="shared" si="33"/>
        <v>20</v>
      </c>
      <c r="K345" s="16">
        <f t="shared" si="34"/>
        <v>10</v>
      </c>
      <c r="L345" s="16">
        <f t="shared" si="35"/>
        <v>1</v>
      </c>
      <c r="M345" s="16">
        <f t="shared" si="36"/>
        <v>33</v>
      </c>
      <c r="N345" s="17" t="str">
        <f t="shared" si="37"/>
        <v>02.04.2056</v>
      </c>
      <c r="O345" s="32"/>
    </row>
    <row r="346" spans="9:15" x14ac:dyDescent="0.25">
      <c r="I346" s="15">
        <v>2055</v>
      </c>
      <c r="J346" s="16">
        <f t="shared" si="33"/>
        <v>20</v>
      </c>
      <c r="K346" s="16">
        <f t="shared" si="34"/>
        <v>21</v>
      </c>
      <c r="L346" s="16">
        <f t="shared" si="35"/>
        <v>6</v>
      </c>
      <c r="M346" s="16">
        <f t="shared" si="36"/>
        <v>49</v>
      </c>
      <c r="N346" s="17" t="str">
        <f t="shared" si="37"/>
        <v>18.04.2055</v>
      </c>
      <c r="O346" s="32"/>
    </row>
    <row r="347" spans="9:15" x14ac:dyDescent="0.25">
      <c r="I347" s="21">
        <v>2054</v>
      </c>
      <c r="J347" s="16">
        <f t="shared" si="33"/>
        <v>20</v>
      </c>
      <c r="K347" s="16">
        <f t="shared" si="34"/>
        <v>2</v>
      </c>
      <c r="L347" s="16">
        <f t="shared" si="35"/>
        <v>5</v>
      </c>
      <c r="M347" s="16">
        <f t="shared" si="36"/>
        <v>29</v>
      </c>
      <c r="N347" s="17" t="str">
        <f t="shared" si="37"/>
        <v>29.03.2054</v>
      </c>
      <c r="O347" s="32"/>
    </row>
    <row r="348" spans="9:15" x14ac:dyDescent="0.25">
      <c r="I348" s="15">
        <v>2053</v>
      </c>
      <c r="J348" s="16">
        <f t="shared" si="33"/>
        <v>20</v>
      </c>
      <c r="K348" s="16">
        <f t="shared" si="34"/>
        <v>13</v>
      </c>
      <c r="L348" s="16">
        <f t="shared" si="35"/>
        <v>2</v>
      </c>
      <c r="M348" s="16">
        <f t="shared" si="36"/>
        <v>37</v>
      </c>
      <c r="N348" s="17" t="str">
        <f t="shared" si="37"/>
        <v>06.04.2053</v>
      </c>
      <c r="O348" s="32"/>
    </row>
    <row r="349" spans="9:15" x14ac:dyDescent="0.25">
      <c r="I349" s="21">
        <v>2052</v>
      </c>
      <c r="J349" s="16">
        <f t="shared" si="33"/>
        <v>20</v>
      </c>
      <c r="K349" s="16">
        <f t="shared" si="34"/>
        <v>24</v>
      </c>
      <c r="L349" s="16">
        <f t="shared" si="35"/>
        <v>6</v>
      </c>
      <c r="M349" s="16">
        <f t="shared" si="36"/>
        <v>52</v>
      </c>
      <c r="N349" s="17" t="str">
        <f t="shared" si="37"/>
        <v>21.04.2052</v>
      </c>
      <c r="O349" s="32"/>
    </row>
    <row r="350" spans="9:15" x14ac:dyDescent="0.25">
      <c r="I350" s="15">
        <v>2051</v>
      </c>
      <c r="J350" s="16">
        <f t="shared" si="33"/>
        <v>20</v>
      </c>
      <c r="K350" s="16">
        <f t="shared" si="34"/>
        <v>6</v>
      </c>
      <c r="L350" s="16">
        <f t="shared" si="35"/>
        <v>5</v>
      </c>
      <c r="M350" s="16">
        <f t="shared" si="36"/>
        <v>33</v>
      </c>
      <c r="N350" s="17" t="str">
        <f t="shared" si="37"/>
        <v>02.04.2051</v>
      </c>
      <c r="O350" s="32"/>
    </row>
    <row r="351" spans="9:15" x14ac:dyDescent="0.25">
      <c r="I351" s="21">
        <v>2050</v>
      </c>
      <c r="J351" s="16">
        <f t="shared" si="33"/>
        <v>20</v>
      </c>
      <c r="K351" s="16">
        <f t="shared" si="34"/>
        <v>17</v>
      </c>
      <c r="L351" s="16">
        <f t="shared" si="35"/>
        <v>2</v>
      </c>
      <c r="M351" s="16">
        <f t="shared" si="36"/>
        <v>41</v>
      </c>
      <c r="N351" s="17" t="str">
        <f t="shared" si="37"/>
        <v>10.04.2050</v>
      </c>
      <c r="O351" s="32"/>
    </row>
    <row r="352" spans="9:15" x14ac:dyDescent="0.25">
      <c r="I352" s="15">
        <v>2049</v>
      </c>
      <c r="J352" s="16">
        <f t="shared" si="33"/>
        <v>20</v>
      </c>
      <c r="K352" s="16">
        <f t="shared" si="34"/>
        <v>28</v>
      </c>
      <c r="L352" s="16">
        <f t="shared" si="35"/>
        <v>6</v>
      </c>
      <c r="M352" s="16">
        <f t="shared" si="36"/>
        <v>49</v>
      </c>
      <c r="N352" s="17" t="str">
        <f t="shared" si="37"/>
        <v>18.04.2049</v>
      </c>
      <c r="O352" s="32"/>
    </row>
    <row r="353" spans="9:15" x14ac:dyDescent="0.25">
      <c r="I353" s="21">
        <v>2048</v>
      </c>
      <c r="J353" s="16">
        <f t="shared" si="33"/>
        <v>20</v>
      </c>
      <c r="K353" s="16">
        <f t="shared" si="34"/>
        <v>9</v>
      </c>
      <c r="L353" s="16">
        <f t="shared" si="35"/>
        <v>5</v>
      </c>
      <c r="M353" s="16">
        <f t="shared" si="36"/>
        <v>36</v>
      </c>
      <c r="N353" s="17" t="str">
        <f t="shared" si="37"/>
        <v>05.04.2048</v>
      </c>
      <c r="O353" s="32"/>
    </row>
    <row r="354" spans="9:15" x14ac:dyDescent="0.25">
      <c r="I354" s="15">
        <v>2047</v>
      </c>
      <c r="J354" s="16">
        <f t="shared" si="33"/>
        <v>20</v>
      </c>
      <c r="K354" s="16">
        <f t="shared" si="34"/>
        <v>20</v>
      </c>
      <c r="L354" s="16">
        <f t="shared" si="35"/>
        <v>3</v>
      </c>
      <c r="M354" s="16">
        <f t="shared" si="36"/>
        <v>45</v>
      </c>
      <c r="N354" s="17" t="str">
        <f t="shared" si="37"/>
        <v>14.04.2047</v>
      </c>
      <c r="O354" s="32"/>
    </row>
    <row r="355" spans="9:15" x14ac:dyDescent="0.25">
      <c r="I355" s="21">
        <v>2046</v>
      </c>
      <c r="J355" s="16">
        <f t="shared" si="33"/>
        <v>20</v>
      </c>
      <c r="K355" s="16">
        <f t="shared" si="34"/>
        <v>1</v>
      </c>
      <c r="L355" s="16">
        <f t="shared" si="35"/>
        <v>2</v>
      </c>
      <c r="M355" s="16">
        <f t="shared" si="36"/>
        <v>25</v>
      </c>
      <c r="N355" s="17" t="str">
        <f t="shared" si="37"/>
        <v>25.03.2046</v>
      </c>
      <c r="O355" s="32"/>
    </row>
    <row r="356" spans="9:15" x14ac:dyDescent="0.25">
      <c r="I356" s="15">
        <v>2045</v>
      </c>
      <c r="J356" s="16">
        <f t="shared" si="33"/>
        <v>20</v>
      </c>
      <c r="K356" s="16">
        <f t="shared" si="34"/>
        <v>12</v>
      </c>
      <c r="L356" s="16">
        <f t="shared" si="35"/>
        <v>6</v>
      </c>
      <c r="M356" s="16">
        <f t="shared" si="36"/>
        <v>40</v>
      </c>
      <c r="N356" s="17" t="str">
        <f t="shared" si="37"/>
        <v>09.04.2045</v>
      </c>
      <c r="O356" s="32"/>
    </row>
    <row r="357" spans="9:15" x14ac:dyDescent="0.25">
      <c r="I357" s="21">
        <v>2044</v>
      </c>
      <c r="J357" s="16">
        <f t="shared" si="33"/>
        <v>20</v>
      </c>
      <c r="K357" s="16">
        <f t="shared" si="34"/>
        <v>23</v>
      </c>
      <c r="L357" s="16">
        <f t="shared" si="35"/>
        <v>3</v>
      </c>
      <c r="M357" s="16">
        <f t="shared" si="36"/>
        <v>48</v>
      </c>
      <c r="N357" s="17" t="str">
        <f t="shared" si="37"/>
        <v>17.04.2044</v>
      </c>
      <c r="O357" s="32"/>
    </row>
    <row r="358" spans="9:15" x14ac:dyDescent="0.25">
      <c r="I358" s="15">
        <v>2043</v>
      </c>
      <c r="J358" s="16">
        <f t="shared" ref="J358:J421" si="38">INT(I358/100)</f>
        <v>20</v>
      </c>
      <c r="K358" s="16">
        <f t="shared" ref="K358:K421" si="39">MOD(19*MOD(I358,19)+J358-INT(J358/4)-INT((J358-INT((J358+8)/25)+1)/3)+15,30)</f>
        <v>4</v>
      </c>
      <c r="L358" s="16">
        <f t="shared" ref="L358:L421" si="40">MOD(32+2*MOD(J358,4)+2*INT(MOD(I358,100)/4)-K358-MOD(MOD(I358,100),4),7)</f>
        <v>3</v>
      </c>
      <c r="M358" s="16">
        <f t="shared" ref="M358:M421" si="41">K358+L358-7*INT((MOD(I358,19)+11*K358+22*L358)/451)+22</f>
        <v>29</v>
      </c>
      <c r="N358" s="17" t="str">
        <f t="shared" ref="N358:N421" si="42">TEXT(IF(M358-31 &lt; 1,M358,M358-31),"0#")&amp;"."&amp;IF(M358 &gt; 31,"04.","03.")&amp;I358</f>
        <v>29.03.2043</v>
      </c>
      <c r="O358" s="32"/>
    </row>
    <row r="359" spans="9:15" x14ac:dyDescent="0.25">
      <c r="I359" s="21">
        <v>2042</v>
      </c>
      <c r="J359" s="16">
        <f t="shared" si="38"/>
        <v>20</v>
      </c>
      <c r="K359" s="16">
        <f t="shared" si="39"/>
        <v>15</v>
      </c>
      <c r="L359" s="16">
        <f t="shared" si="40"/>
        <v>0</v>
      </c>
      <c r="M359" s="16">
        <f t="shared" si="41"/>
        <v>37</v>
      </c>
      <c r="N359" s="17" t="str">
        <f t="shared" si="42"/>
        <v>06.04.2042</v>
      </c>
      <c r="O359" s="32"/>
    </row>
    <row r="360" spans="9:15" x14ac:dyDescent="0.25">
      <c r="I360" s="15">
        <v>2041</v>
      </c>
      <c r="J360" s="16">
        <f t="shared" si="38"/>
        <v>20</v>
      </c>
      <c r="K360" s="16">
        <f t="shared" si="39"/>
        <v>26</v>
      </c>
      <c r="L360" s="16">
        <f t="shared" si="40"/>
        <v>4</v>
      </c>
      <c r="M360" s="16">
        <f t="shared" si="41"/>
        <v>52</v>
      </c>
      <c r="N360" s="17" t="str">
        <f t="shared" si="42"/>
        <v>21.04.2041</v>
      </c>
      <c r="O360" s="32"/>
    </row>
    <row r="361" spans="9:15" x14ac:dyDescent="0.25">
      <c r="I361" s="21">
        <v>2040</v>
      </c>
      <c r="J361" s="16">
        <f t="shared" si="38"/>
        <v>20</v>
      </c>
      <c r="K361" s="16">
        <f t="shared" si="39"/>
        <v>7</v>
      </c>
      <c r="L361" s="16">
        <f t="shared" si="40"/>
        <v>3</v>
      </c>
      <c r="M361" s="16">
        <f t="shared" si="41"/>
        <v>32</v>
      </c>
      <c r="N361" s="17" t="str">
        <f t="shared" si="42"/>
        <v>01.04.2040</v>
      </c>
      <c r="O361" s="32"/>
    </row>
    <row r="362" spans="9:15" x14ac:dyDescent="0.25">
      <c r="I362" s="15">
        <v>2039</v>
      </c>
      <c r="J362" s="16">
        <f t="shared" si="38"/>
        <v>20</v>
      </c>
      <c r="K362" s="16">
        <f t="shared" si="39"/>
        <v>18</v>
      </c>
      <c r="L362" s="16">
        <f t="shared" si="40"/>
        <v>1</v>
      </c>
      <c r="M362" s="16">
        <f t="shared" si="41"/>
        <v>41</v>
      </c>
      <c r="N362" s="17" t="str">
        <f t="shared" si="42"/>
        <v>10.04.2039</v>
      </c>
      <c r="O362" s="32"/>
    </row>
    <row r="363" spans="9:15" x14ac:dyDescent="0.25">
      <c r="I363" s="21">
        <v>2038</v>
      </c>
      <c r="J363" s="16">
        <f t="shared" si="38"/>
        <v>20</v>
      </c>
      <c r="K363" s="16">
        <f t="shared" si="39"/>
        <v>29</v>
      </c>
      <c r="L363" s="16">
        <f t="shared" si="40"/>
        <v>5</v>
      </c>
      <c r="M363" s="16">
        <f t="shared" si="41"/>
        <v>56</v>
      </c>
      <c r="N363" s="17" t="str">
        <f t="shared" si="42"/>
        <v>25.04.2038</v>
      </c>
      <c r="O363" s="32"/>
    </row>
    <row r="364" spans="9:15" x14ac:dyDescent="0.25">
      <c r="I364" s="15">
        <v>2037</v>
      </c>
      <c r="J364" s="16">
        <f t="shared" si="38"/>
        <v>20</v>
      </c>
      <c r="K364" s="16">
        <f t="shared" si="39"/>
        <v>10</v>
      </c>
      <c r="L364" s="16">
        <f t="shared" si="40"/>
        <v>4</v>
      </c>
      <c r="M364" s="16">
        <f t="shared" si="41"/>
        <v>36</v>
      </c>
      <c r="N364" s="17" t="str">
        <f t="shared" si="42"/>
        <v>05.04.2037</v>
      </c>
      <c r="O364" s="32"/>
    </row>
    <row r="365" spans="9:15" x14ac:dyDescent="0.25">
      <c r="I365" s="21">
        <v>2036</v>
      </c>
      <c r="J365" s="16">
        <f t="shared" si="38"/>
        <v>20</v>
      </c>
      <c r="K365" s="16">
        <f t="shared" si="39"/>
        <v>21</v>
      </c>
      <c r="L365" s="16">
        <f t="shared" si="40"/>
        <v>1</v>
      </c>
      <c r="M365" s="16">
        <f t="shared" si="41"/>
        <v>44</v>
      </c>
      <c r="N365" s="17" t="str">
        <f t="shared" si="42"/>
        <v>13.04.2036</v>
      </c>
      <c r="O365" s="32"/>
    </row>
    <row r="366" spans="9:15" x14ac:dyDescent="0.25">
      <c r="I366" s="15">
        <v>2035</v>
      </c>
      <c r="J366" s="16">
        <f t="shared" si="38"/>
        <v>20</v>
      </c>
      <c r="K366" s="16">
        <f t="shared" si="39"/>
        <v>2</v>
      </c>
      <c r="L366" s="16">
        <f t="shared" si="40"/>
        <v>1</v>
      </c>
      <c r="M366" s="16">
        <f t="shared" si="41"/>
        <v>25</v>
      </c>
      <c r="N366" s="17" t="str">
        <f t="shared" si="42"/>
        <v>25.03.2035</v>
      </c>
      <c r="O366" s="32"/>
    </row>
    <row r="367" spans="9:15" x14ac:dyDescent="0.25">
      <c r="I367" s="21">
        <v>2034</v>
      </c>
      <c r="J367" s="16">
        <f t="shared" si="38"/>
        <v>20</v>
      </c>
      <c r="K367" s="16">
        <f t="shared" si="39"/>
        <v>13</v>
      </c>
      <c r="L367" s="16">
        <f t="shared" si="40"/>
        <v>5</v>
      </c>
      <c r="M367" s="16">
        <f t="shared" si="41"/>
        <v>40</v>
      </c>
      <c r="N367" s="17" t="str">
        <f t="shared" si="42"/>
        <v>09.04.2034</v>
      </c>
      <c r="O367" s="32"/>
    </row>
    <row r="368" spans="9:15" x14ac:dyDescent="0.25">
      <c r="I368" s="15">
        <v>2033</v>
      </c>
      <c r="J368" s="16">
        <f t="shared" si="38"/>
        <v>20</v>
      </c>
      <c r="K368" s="16">
        <f t="shared" si="39"/>
        <v>24</v>
      </c>
      <c r="L368" s="16">
        <f t="shared" si="40"/>
        <v>2</v>
      </c>
      <c r="M368" s="16">
        <f t="shared" si="41"/>
        <v>48</v>
      </c>
      <c r="N368" s="17" t="str">
        <f t="shared" si="42"/>
        <v>17.04.2033</v>
      </c>
      <c r="O368" s="32"/>
    </row>
    <row r="369" spans="9:15" x14ac:dyDescent="0.25">
      <c r="I369" s="21">
        <v>2032</v>
      </c>
      <c r="J369" s="16">
        <f t="shared" si="38"/>
        <v>20</v>
      </c>
      <c r="K369" s="16">
        <f t="shared" si="39"/>
        <v>6</v>
      </c>
      <c r="L369" s="16">
        <f t="shared" si="40"/>
        <v>0</v>
      </c>
      <c r="M369" s="16">
        <f t="shared" si="41"/>
        <v>28</v>
      </c>
      <c r="N369" s="17" t="str">
        <f t="shared" si="42"/>
        <v>28.03.2032</v>
      </c>
      <c r="O369" s="32"/>
    </row>
    <row r="370" spans="9:15" x14ac:dyDescent="0.25">
      <c r="I370" s="15">
        <v>2031</v>
      </c>
      <c r="J370" s="16">
        <f t="shared" si="38"/>
        <v>20</v>
      </c>
      <c r="K370" s="16">
        <f t="shared" si="39"/>
        <v>17</v>
      </c>
      <c r="L370" s="16">
        <f t="shared" si="40"/>
        <v>5</v>
      </c>
      <c r="M370" s="16">
        <f t="shared" si="41"/>
        <v>44</v>
      </c>
      <c r="N370" s="17" t="str">
        <f t="shared" si="42"/>
        <v>13.04.2031</v>
      </c>
      <c r="O370" s="32"/>
    </row>
    <row r="371" spans="9:15" x14ac:dyDescent="0.25">
      <c r="I371" s="21">
        <v>2030</v>
      </c>
      <c r="J371" s="16">
        <f t="shared" si="38"/>
        <v>20</v>
      </c>
      <c r="K371" s="16">
        <f t="shared" si="39"/>
        <v>28</v>
      </c>
      <c r="L371" s="16">
        <f t="shared" si="40"/>
        <v>2</v>
      </c>
      <c r="M371" s="16">
        <f t="shared" si="41"/>
        <v>52</v>
      </c>
      <c r="N371" s="17" t="str">
        <f t="shared" si="42"/>
        <v>21.04.2030</v>
      </c>
      <c r="O371" s="32"/>
    </row>
    <row r="372" spans="9:15" x14ac:dyDescent="0.25">
      <c r="I372" s="15">
        <v>2029</v>
      </c>
      <c r="J372" s="16">
        <f t="shared" si="38"/>
        <v>20</v>
      </c>
      <c r="K372" s="16">
        <f t="shared" si="39"/>
        <v>9</v>
      </c>
      <c r="L372" s="16">
        <f t="shared" si="40"/>
        <v>1</v>
      </c>
      <c r="M372" s="16">
        <f t="shared" si="41"/>
        <v>32</v>
      </c>
      <c r="N372" s="17" t="str">
        <f t="shared" si="42"/>
        <v>01.04.2029</v>
      </c>
      <c r="O372" s="32"/>
    </row>
    <row r="373" spans="9:15" x14ac:dyDescent="0.25">
      <c r="I373" s="21">
        <v>2028</v>
      </c>
      <c r="J373" s="16">
        <f t="shared" si="38"/>
        <v>20</v>
      </c>
      <c r="K373" s="16">
        <f t="shared" si="39"/>
        <v>20</v>
      </c>
      <c r="L373" s="16">
        <f t="shared" si="40"/>
        <v>5</v>
      </c>
      <c r="M373" s="16">
        <f t="shared" si="41"/>
        <v>47</v>
      </c>
      <c r="N373" s="17" t="str">
        <f t="shared" si="42"/>
        <v>16.04.2028</v>
      </c>
      <c r="O373" s="32"/>
    </row>
    <row r="374" spans="9:15" x14ac:dyDescent="0.25">
      <c r="I374" s="15">
        <v>2027</v>
      </c>
      <c r="J374" s="16">
        <f t="shared" si="38"/>
        <v>20</v>
      </c>
      <c r="K374" s="16">
        <f t="shared" si="39"/>
        <v>1</v>
      </c>
      <c r="L374" s="16">
        <f t="shared" si="40"/>
        <v>5</v>
      </c>
      <c r="M374" s="16">
        <f t="shared" si="41"/>
        <v>28</v>
      </c>
      <c r="N374" s="17" t="str">
        <f t="shared" si="42"/>
        <v>28.03.2027</v>
      </c>
      <c r="O374" s="32"/>
    </row>
    <row r="375" spans="9:15" x14ac:dyDescent="0.25">
      <c r="I375" s="21">
        <v>2026</v>
      </c>
      <c r="J375" s="16">
        <f t="shared" si="38"/>
        <v>20</v>
      </c>
      <c r="K375" s="16">
        <f t="shared" si="39"/>
        <v>12</v>
      </c>
      <c r="L375" s="16">
        <f t="shared" si="40"/>
        <v>2</v>
      </c>
      <c r="M375" s="16">
        <f t="shared" si="41"/>
        <v>36</v>
      </c>
      <c r="N375" s="17" t="str">
        <f t="shared" si="42"/>
        <v>05.04.2026</v>
      </c>
      <c r="O375" s="32"/>
    </row>
    <row r="376" spans="9:15" x14ac:dyDescent="0.25">
      <c r="I376" s="15">
        <v>2025</v>
      </c>
      <c r="J376" s="16">
        <f t="shared" si="38"/>
        <v>20</v>
      </c>
      <c r="K376" s="16">
        <f t="shared" si="39"/>
        <v>23</v>
      </c>
      <c r="L376" s="16">
        <f t="shared" si="40"/>
        <v>6</v>
      </c>
      <c r="M376" s="16">
        <f t="shared" si="41"/>
        <v>51</v>
      </c>
      <c r="N376" s="17" t="str">
        <f t="shared" si="42"/>
        <v>20.04.2025</v>
      </c>
      <c r="O376" s="32"/>
    </row>
    <row r="377" spans="9:15" x14ac:dyDescent="0.25">
      <c r="I377" s="21">
        <v>2024</v>
      </c>
      <c r="J377" s="16">
        <f t="shared" si="38"/>
        <v>20</v>
      </c>
      <c r="K377" s="16">
        <f t="shared" si="39"/>
        <v>4</v>
      </c>
      <c r="L377" s="16">
        <f t="shared" si="40"/>
        <v>5</v>
      </c>
      <c r="M377" s="16">
        <f t="shared" si="41"/>
        <v>31</v>
      </c>
      <c r="N377" s="17" t="str">
        <f t="shared" si="42"/>
        <v>31.03.2024</v>
      </c>
      <c r="O377" s="32"/>
    </row>
    <row r="378" spans="9:15" x14ac:dyDescent="0.25">
      <c r="I378" s="15">
        <v>2023</v>
      </c>
      <c r="J378" s="16">
        <f t="shared" si="38"/>
        <v>20</v>
      </c>
      <c r="K378" s="16">
        <f t="shared" si="39"/>
        <v>15</v>
      </c>
      <c r="L378" s="16">
        <f t="shared" si="40"/>
        <v>3</v>
      </c>
      <c r="M378" s="16">
        <f t="shared" si="41"/>
        <v>40</v>
      </c>
      <c r="N378" s="17" t="str">
        <f t="shared" si="42"/>
        <v>09.04.2023</v>
      </c>
      <c r="O378" s="32"/>
    </row>
    <row r="379" spans="9:15" x14ac:dyDescent="0.25">
      <c r="I379" s="21">
        <v>2022</v>
      </c>
      <c r="J379" s="16">
        <f t="shared" si="38"/>
        <v>20</v>
      </c>
      <c r="K379" s="16">
        <f t="shared" si="39"/>
        <v>26</v>
      </c>
      <c r="L379" s="16">
        <f t="shared" si="40"/>
        <v>0</v>
      </c>
      <c r="M379" s="16">
        <f t="shared" si="41"/>
        <v>48</v>
      </c>
      <c r="N379" s="17" t="str">
        <f t="shared" si="42"/>
        <v>17.04.2022</v>
      </c>
      <c r="O379" s="32"/>
    </row>
    <row r="380" spans="9:15" x14ac:dyDescent="0.25">
      <c r="I380" s="15">
        <v>2021</v>
      </c>
      <c r="J380" s="16">
        <f t="shared" si="38"/>
        <v>20</v>
      </c>
      <c r="K380" s="16">
        <f t="shared" si="39"/>
        <v>7</v>
      </c>
      <c r="L380" s="16">
        <f t="shared" si="40"/>
        <v>6</v>
      </c>
      <c r="M380" s="16">
        <f t="shared" si="41"/>
        <v>35</v>
      </c>
      <c r="N380" s="17" t="str">
        <f t="shared" si="42"/>
        <v>04.04.2021</v>
      </c>
      <c r="O380" s="32"/>
    </row>
    <row r="381" spans="9:15" x14ac:dyDescent="0.25">
      <c r="I381" s="21">
        <v>2020</v>
      </c>
      <c r="J381" s="16">
        <f t="shared" si="38"/>
        <v>20</v>
      </c>
      <c r="K381" s="16">
        <f t="shared" si="39"/>
        <v>18</v>
      </c>
      <c r="L381" s="16">
        <f t="shared" si="40"/>
        <v>3</v>
      </c>
      <c r="M381" s="16">
        <f t="shared" si="41"/>
        <v>43</v>
      </c>
      <c r="N381" s="17" t="str">
        <f t="shared" si="42"/>
        <v>12.04.2020</v>
      </c>
      <c r="O381" s="32"/>
    </row>
    <row r="382" spans="9:15" x14ac:dyDescent="0.25">
      <c r="I382" s="15">
        <v>2019</v>
      </c>
      <c r="J382" s="16">
        <f t="shared" si="38"/>
        <v>20</v>
      </c>
      <c r="K382" s="16">
        <f t="shared" si="39"/>
        <v>29</v>
      </c>
      <c r="L382" s="16">
        <f t="shared" si="40"/>
        <v>1</v>
      </c>
      <c r="M382" s="16">
        <f t="shared" si="41"/>
        <v>52</v>
      </c>
      <c r="N382" s="17" t="str">
        <f t="shared" si="42"/>
        <v>21.04.2019</v>
      </c>
      <c r="O382" s="32"/>
    </row>
    <row r="383" spans="9:15" x14ac:dyDescent="0.25">
      <c r="I383" s="21">
        <v>2018</v>
      </c>
      <c r="J383" s="16">
        <f t="shared" si="38"/>
        <v>20</v>
      </c>
      <c r="K383" s="16">
        <f t="shared" si="39"/>
        <v>10</v>
      </c>
      <c r="L383" s="16">
        <f t="shared" si="40"/>
        <v>0</v>
      </c>
      <c r="M383" s="16">
        <f t="shared" si="41"/>
        <v>32</v>
      </c>
      <c r="N383" s="17" t="str">
        <f t="shared" si="42"/>
        <v>01.04.2018</v>
      </c>
      <c r="O383" s="32"/>
    </row>
    <row r="384" spans="9:15" x14ac:dyDescent="0.25">
      <c r="I384" s="15">
        <v>2017</v>
      </c>
      <c r="J384" s="16">
        <f t="shared" si="38"/>
        <v>20</v>
      </c>
      <c r="K384" s="16">
        <f t="shared" si="39"/>
        <v>21</v>
      </c>
      <c r="L384" s="16">
        <f t="shared" si="40"/>
        <v>4</v>
      </c>
      <c r="M384" s="16">
        <f t="shared" si="41"/>
        <v>47</v>
      </c>
      <c r="N384" s="17" t="str">
        <f t="shared" si="42"/>
        <v>16.04.2017</v>
      </c>
      <c r="O384" s="32"/>
    </row>
    <row r="385" spans="9:15" x14ac:dyDescent="0.25">
      <c r="I385" s="21">
        <v>2016</v>
      </c>
      <c r="J385" s="16">
        <f t="shared" si="38"/>
        <v>20</v>
      </c>
      <c r="K385" s="16">
        <f t="shared" si="39"/>
        <v>2</v>
      </c>
      <c r="L385" s="16">
        <f t="shared" si="40"/>
        <v>3</v>
      </c>
      <c r="M385" s="16">
        <f t="shared" si="41"/>
        <v>27</v>
      </c>
      <c r="N385" s="17" t="str">
        <f t="shared" si="42"/>
        <v>27.03.2016</v>
      </c>
      <c r="O385" s="32"/>
    </row>
    <row r="386" spans="9:15" x14ac:dyDescent="0.25">
      <c r="I386" s="15">
        <v>2015</v>
      </c>
      <c r="J386" s="16">
        <f t="shared" si="38"/>
        <v>20</v>
      </c>
      <c r="K386" s="16">
        <f t="shared" si="39"/>
        <v>13</v>
      </c>
      <c r="L386" s="16">
        <f t="shared" si="40"/>
        <v>1</v>
      </c>
      <c r="M386" s="16">
        <f t="shared" si="41"/>
        <v>36</v>
      </c>
      <c r="N386" s="17" t="str">
        <f t="shared" si="42"/>
        <v>05.04.2015</v>
      </c>
      <c r="O386" s="32"/>
    </row>
    <row r="387" spans="9:15" x14ac:dyDescent="0.25">
      <c r="I387" s="21">
        <v>2014</v>
      </c>
      <c r="J387" s="16">
        <f t="shared" si="38"/>
        <v>20</v>
      </c>
      <c r="K387" s="16">
        <f t="shared" si="39"/>
        <v>24</v>
      </c>
      <c r="L387" s="16">
        <f t="shared" si="40"/>
        <v>5</v>
      </c>
      <c r="M387" s="16">
        <f t="shared" si="41"/>
        <v>51</v>
      </c>
      <c r="N387" s="17" t="str">
        <f t="shared" si="42"/>
        <v>20.04.2014</v>
      </c>
      <c r="O387" s="32"/>
    </row>
    <row r="388" spans="9:15" x14ac:dyDescent="0.25">
      <c r="I388" s="15">
        <v>2013</v>
      </c>
      <c r="J388" s="16">
        <f t="shared" si="38"/>
        <v>20</v>
      </c>
      <c r="K388" s="16">
        <f t="shared" si="39"/>
        <v>6</v>
      </c>
      <c r="L388" s="16">
        <f t="shared" si="40"/>
        <v>3</v>
      </c>
      <c r="M388" s="16">
        <f t="shared" si="41"/>
        <v>31</v>
      </c>
      <c r="N388" s="17" t="str">
        <f t="shared" si="42"/>
        <v>31.03.2013</v>
      </c>
      <c r="O388" s="32"/>
    </row>
    <row r="389" spans="9:15" x14ac:dyDescent="0.25">
      <c r="I389" s="21">
        <v>2012</v>
      </c>
      <c r="J389" s="16">
        <f t="shared" si="38"/>
        <v>20</v>
      </c>
      <c r="K389" s="16">
        <f t="shared" si="39"/>
        <v>17</v>
      </c>
      <c r="L389" s="16">
        <f t="shared" si="40"/>
        <v>0</v>
      </c>
      <c r="M389" s="16">
        <f t="shared" si="41"/>
        <v>39</v>
      </c>
      <c r="N389" s="17" t="str">
        <f t="shared" si="42"/>
        <v>08.04.2012</v>
      </c>
      <c r="O389" s="32"/>
    </row>
    <row r="390" spans="9:15" x14ac:dyDescent="0.25">
      <c r="I390" s="15">
        <v>2011</v>
      </c>
      <c r="J390" s="16">
        <f t="shared" si="38"/>
        <v>20</v>
      </c>
      <c r="K390" s="16">
        <f t="shared" si="39"/>
        <v>28</v>
      </c>
      <c r="L390" s="16">
        <f t="shared" si="40"/>
        <v>5</v>
      </c>
      <c r="M390" s="16">
        <f t="shared" si="41"/>
        <v>55</v>
      </c>
      <c r="N390" s="17" t="str">
        <f t="shared" si="42"/>
        <v>24.04.2011</v>
      </c>
      <c r="O390" s="32"/>
    </row>
    <row r="391" spans="9:15" x14ac:dyDescent="0.25">
      <c r="I391" s="21">
        <v>2010</v>
      </c>
      <c r="J391" s="16">
        <f t="shared" si="38"/>
        <v>20</v>
      </c>
      <c r="K391" s="16">
        <f t="shared" si="39"/>
        <v>9</v>
      </c>
      <c r="L391" s="16">
        <f t="shared" si="40"/>
        <v>4</v>
      </c>
      <c r="M391" s="16">
        <f t="shared" si="41"/>
        <v>35</v>
      </c>
      <c r="N391" s="17" t="str">
        <f t="shared" si="42"/>
        <v>04.04.2010</v>
      </c>
      <c r="O391" s="32"/>
    </row>
    <row r="392" spans="9:15" x14ac:dyDescent="0.25">
      <c r="I392" s="15">
        <v>2009</v>
      </c>
      <c r="J392" s="16">
        <f t="shared" si="38"/>
        <v>20</v>
      </c>
      <c r="K392" s="16">
        <f t="shared" si="39"/>
        <v>20</v>
      </c>
      <c r="L392" s="16">
        <f t="shared" si="40"/>
        <v>1</v>
      </c>
      <c r="M392" s="16">
        <f t="shared" si="41"/>
        <v>43</v>
      </c>
      <c r="N392" s="17" t="str">
        <f t="shared" si="42"/>
        <v>12.04.2009</v>
      </c>
      <c r="O392" s="32"/>
    </row>
    <row r="393" spans="9:15" x14ac:dyDescent="0.25">
      <c r="I393" s="21">
        <v>2008</v>
      </c>
      <c r="J393" s="16">
        <f t="shared" si="38"/>
        <v>20</v>
      </c>
      <c r="K393" s="16">
        <f t="shared" si="39"/>
        <v>1</v>
      </c>
      <c r="L393" s="16">
        <f t="shared" si="40"/>
        <v>0</v>
      </c>
      <c r="M393" s="16">
        <f t="shared" si="41"/>
        <v>23</v>
      </c>
      <c r="N393" s="17" t="str">
        <f t="shared" si="42"/>
        <v>23.03.2008</v>
      </c>
      <c r="O393" s="32"/>
    </row>
    <row r="394" spans="9:15" x14ac:dyDescent="0.25">
      <c r="I394" s="15">
        <v>2007</v>
      </c>
      <c r="J394" s="16">
        <f t="shared" si="38"/>
        <v>20</v>
      </c>
      <c r="K394" s="16">
        <f t="shared" si="39"/>
        <v>12</v>
      </c>
      <c r="L394" s="16">
        <f t="shared" si="40"/>
        <v>5</v>
      </c>
      <c r="M394" s="16">
        <f t="shared" si="41"/>
        <v>39</v>
      </c>
      <c r="N394" s="17" t="str">
        <f t="shared" si="42"/>
        <v>08.04.2007</v>
      </c>
      <c r="O394" s="32"/>
    </row>
    <row r="395" spans="9:15" x14ac:dyDescent="0.25">
      <c r="I395" s="21">
        <v>2006</v>
      </c>
      <c r="J395" s="16">
        <f t="shared" si="38"/>
        <v>20</v>
      </c>
      <c r="K395" s="16">
        <f t="shared" si="39"/>
        <v>23</v>
      </c>
      <c r="L395" s="16">
        <f t="shared" si="40"/>
        <v>2</v>
      </c>
      <c r="M395" s="16">
        <f t="shared" si="41"/>
        <v>47</v>
      </c>
      <c r="N395" s="17" t="str">
        <f t="shared" si="42"/>
        <v>16.04.2006</v>
      </c>
      <c r="O395" s="32"/>
    </row>
    <row r="396" spans="9:15" x14ac:dyDescent="0.25">
      <c r="I396" s="15">
        <v>2005</v>
      </c>
      <c r="J396" s="16">
        <f t="shared" si="38"/>
        <v>20</v>
      </c>
      <c r="K396" s="16">
        <f t="shared" si="39"/>
        <v>4</v>
      </c>
      <c r="L396" s="16">
        <f t="shared" si="40"/>
        <v>1</v>
      </c>
      <c r="M396" s="16">
        <f t="shared" si="41"/>
        <v>27</v>
      </c>
      <c r="N396" s="17" t="str">
        <f t="shared" si="42"/>
        <v>27.03.2005</v>
      </c>
      <c r="O396" s="32"/>
    </row>
    <row r="397" spans="9:15" x14ac:dyDescent="0.25">
      <c r="I397" s="21">
        <v>2004</v>
      </c>
      <c r="J397" s="16">
        <f t="shared" si="38"/>
        <v>20</v>
      </c>
      <c r="K397" s="16">
        <f t="shared" si="39"/>
        <v>15</v>
      </c>
      <c r="L397" s="16">
        <f t="shared" si="40"/>
        <v>5</v>
      </c>
      <c r="M397" s="16">
        <f t="shared" si="41"/>
        <v>42</v>
      </c>
      <c r="N397" s="17" t="str">
        <f t="shared" si="42"/>
        <v>11.04.2004</v>
      </c>
      <c r="O397" s="32"/>
    </row>
    <row r="398" spans="9:15" x14ac:dyDescent="0.25">
      <c r="I398" s="15">
        <v>2003</v>
      </c>
      <c r="J398" s="16">
        <f t="shared" si="38"/>
        <v>20</v>
      </c>
      <c r="K398" s="16">
        <f t="shared" si="39"/>
        <v>26</v>
      </c>
      <c r="L398" s="16">
        <f t="shared" si="40"/>
        <v>3</v>
      </c>
      <c r="M398" s="16">
        <f t="shared" si="41"/>
        <v>51</v>
      </c>
      <c r="N398" s="17" t="str">
        <f t="shared" si="42"/>
        <v>20.04.2003</v>
      </c>
      <c r="O398" s="32"/>
    </row>
    <row r="399" spans="9:15" x14ac:dyDescent="0.25">
      <c r="I399" s="21">
        <v>2002</v>
      </c>
      <c r="J399" s="16">
        <f t="shared" si="38"/>
        <v>20</v>
      </c>
      <c r="K399" s="16">
        <f t="shared" si="39"/>
        <v>7</v>
      </c>
      <c r="L399" s="16">
        <f t="shared" si="40"/>
        <v>2</v>
      </c>
      <c r="M399" s="16">
        <f t="shared" si="41"/>
        <v>31</v>
      </c>
      <c r="N399" s="17" t="str">
        <f t="shared" si="42"/>
        <v>31.03.2002</v>
      </c>
      <c r="O399" s="32"/>
    </row>
    <row r="400" spans="9:15" x14ac:dyDescent="0.25">
      <c r="I400" s="15">
        <v>2001</v>
      </c>
      <c r="J400" s="16">
        <f t="shared" si="38"/>
        <v>20</v>
      </c>
      <c r="K400" s="16">
        <f t="shared" si="39"/>
        <v>18</v>
      </c>
      <c r="L400" s="16">
        <f t="shared" si="40"/>
        <v>6</v>
      </c>
      <c r="M400" s="16">
        <f t="shared" si="41"/>
        <v>46</v>
      </c>
      <c r="N400" s="17" t="str">
        <f t="shared" si="42"/>
        <v>15.04.2001</v>
      </c>
      <c r="O400" s="32"/>
    </row>
    <row r="401" spans="9:15" x14ac:dyDescent="0.25">
      <c r="I401" s="21">
        <v>2000</v>
      </c>
      <c r="J401" s="16">
        <f t="shared" si="38"/>
        <v>20</v>
      </c>
      <c r="K401" s="16">
        <f t="shared" si="39"/>
        <v>29</v>
      </c>
      <c r="L401" s="16">
        <f t="shared" si="40"/>
        <v>3</v>
      </c>
      <c r="M401" s="16">
        <f t="shared" si="41"/>
        <v>54</v>
      </c>
      <c r="N401" s="17" t="str">
        <f t="shared" si="42"/>
        <v>23.04.2000</v>
      </c>
      <c r="O401" s="32"/>
    </row>
    <row r="402" spans="9:15" x14ac:dyDescent="0.25">
      <c r="I402" s="15">
        <v>1999</v>
      </c>
      <c r="J402" s="16">
        <f t="shared" si="38"/>
        <v>19</v>
      </c>
      <c r="K402" s="16">
        <f t="shared" si="39"/>
        <v>10</v>
      </c>
      <c r="L402" s="16">
        <f t="shared" si="40"/>
        <v>3</v>
      </c>
      <c r="M402" s="16">
        <f t="shared" si="41"/>
        <v>35</v>
      </c>
      <c r="N402" s="17" t="str">
        <f t="shared" si="42"/>
        <v>04.04.1999</v>
      </c>
      <c r="O402" s="32"/>
    </row>
    <row r="403" spans="9:15" x14ac:dyDescent="0.25">
      <c r="I403" s="21">
        <v>1998</v>
      </c>
      <c r="J403" s="16">
        <f t="shared" si="38"/>
        <v>19</v>
      </c>
      <c r="K403" s="16">
        <f t="shared" si="39"/>
        <v>21</v>
      </c>
      <c r="L403" s="16">
        <f t="shared" si="40"/>
        <v>0</v>
      </c>
      <c r="M403" s="16">
        <f t="shared" si="41"/>
        <v>43</v>
      </c>
      <c r="N403" s="17" t="str">
        <f t="shared" si="42"/>
        <v>12.04.1998</v>
      </c>
      <c r="O403" s="32"/>
    </row>
    <row r="404" spans="9:15" x14ac:dyDescent="0.25">
      <c r="I404" s="15">
        <v>1997</v>
      </c>
      <c r="J404" s="16">
        <f t="shared" si="38"/>
        <v>19</v>
      </c>
      <c r="K404" s="16">
        <f t="shared" si="39"/>
        <v>2</v>
      </c>
      <c r="L404" s="16">
        <f t="shared" si="40"/>
        <v>6</v>
      </c>
      <c r="M404" s="16">
        <f t="shared" si="41"/>
        <v>30</v>
      </c>
      <c r="N404" s="17" t="str">
        <f t="shared" si="42"/>
        <v>30.03.1997</v>
      </c>
      <c r="O404" s="32"/>
    </row>
    <row r="405" spans="9:15" x14ac:dyDescent="0.25">
      <c r="I405" s="21">
        <v>1996</v>
      </c>
      <c r="J405" s="16">
        <f t="shared" si="38"/>
        <v>19</v>
      </c>
      <c r="K405" s="16">
        <f t="shared" si="39"/>
        <v>13</v>
      </c>
      <c r="L405" s="16">
        <f t="shared" si="40"/>
        <v>3</v>
      </c>
      <c r="M405" s="16">
        <f t="shared" si="41"/>
        <v>38</v>
      </c>
      <c r="N405" s="17" t="str">
        <f t="shared" si="42"/>
        <v>07.04.1996</v>
      </c>
      <c r="O405" s="32"/>
    </row>
    <row r="406" spans="9:15" x14ac:dyDescent="0.25">
      <c r="I406" s="15">
        <v>1995</v>
      </c>
      <c r="J406" s="16">
        <f t="shared" si="38"/>
        <v>19</v>
      </c>
      <c r="K406" s="16">
        <f t="shared" si="39"/>
        <v>24</v>
      </c>
      <c r="L406" s="16">
        <f t="shared" si="40"/>
        <v>1</v>
      </c>
      <c r="M406" s="16">
        <f t="shared" si="41"/>
        <v>47</v>
      </c>
      <c r="N406" s="17" t="str">
        <f t="shared" si="42"/>
        <v>16.04.1995</v>
      </c>
      <c r="O406" s="32"/>
    </row>
    <row r="407" spans="9:15" x14ac:dyDescent="0.25">
      <c r="I407" s="21">
        <v>1994</v>
      </c>
      <c r="J407" s="16">
        <f t="shared" si="38"/>
        <v>19</v>
      </c>
      <c r="K407" s="16">
        <f t="shared" si="39"/>
        <v>6</v>
      </c>
      <c r="L407" s="16">
        <f t="shared" si="40"/>
        <v>6</v>
      </c>
      <c r="M407" s="16">
        <f t="shared" si="41"/>
        <v>34</v>
      </c>
      <c r="N407" s="17" t="str">
        <f t="shared" si="42"/>
        <v>03.04.1994</v>
      </c>
      <c r="O407" s="32"/>
    </row>
    <row r="408" spans="9:15" x14ac:dyDescent="0.25">
      <c r="I408" s="15">
        <v>1993</v>
      </c>
      <c r="J408" s="16">
        <f t="shared" si="38"/>
        <v>19</v>
      </c>
      <c r="K408" s="16">
        <f t="shared" si="39"/>
        <v>17</v>
      </c>
      <c r="L408" s="16">
        <f t="shared" si="40"/>
        <v>3</v>
      </c>
      <c r="M408" s="16">
        <f t="shared" si="41"/>
        <v>42</v>
      </c>
      <c r="N408" s="17" t="str">
        <f t="shared" si="42"/>
        <v>11.04.1993</v>
      </c>
      <c r="O408" s="32"/>
    </row>
    <row r="409" spans="9:15" x14ac:dyDescent="0.25">
      <c r="I409" s="21">
        <v>1992</v>
      </c>
      <c r="J409" s="16">
        <f t="shared" si="38"/>
        <v>19</v>
      </c>
      <c r="K409" s="16">
        <f t="shared" si="39"/>
        <v>28</v>
      </c>
      <c r="L409" s="16">
        <f t="shared" si="40"/>
        <v>0</v>
      </c>
      <c r="M409" s="16">
        <f t="shared" si="41"/>
        <v>50</v>
      </c>
      <c r="N409" s="17" t="str">
        <f t="shared" si="42"/>
        <v>19.04.1992</v>
      </c>
      <c r="O409" s="32"/>
    </row>
    <row r="410" spans="9:15" x14ac:dyDescent="0.25">
      <c r="I410" s="15">
        <v>1991</v>
      </c>
      <c r="J410" s="16">
        <f t="shared" si="38"/>
        <v>19</v>
      </c>
      <c r="K410" s="16">
        <f t="shared" si="39"/>
        <v>9</v>
      </c>
      <c r="L410" s="16">
        <f t="shared" si="40"/>
        <v>0</v>
      </c>
      <c r="M410" s="16">
        <f t="shared" si="41"/>
        <v>31</v>
      </c>
      <c r="N410" s="17" t="str">
        <f t="shared" si="42"/>
        <v>31.03.1991</v>
      </c>
      <c r="O410" s="32"/>
    </row>
    <row r="411" spans="9:15" x14ac:dyDescent="0.25">
      <c r="I411" s="21">
        <v>1990</v>
      </c>
      <c r="J411" s="16">
        <f t="shared" si="38"/>
        <v>19</v>
      </c>
      <c r="K411" s="16">
        <f t="shared" si="39"/>
        <v>20</v>
      </c>
      <c r="L411" s="16">
        <f t="shared" si="40"/>
        <v>4</v>
      </c>
      <c r="M411" s="16">
        <f t="shared" si="41"/>
        <v>46</v>
      </c>
      <c r="N411" s="17" t="str">
        <f t="shared" si="42"/>
        <v>15.04.1990</v>
      </c>
      <c r="O411" s="32"/>
    </row>
    <row r="412" spans="9:15" x14ac:dyDescent="0.25">
      <c r="I412" s="15">
        <v>1989</v>
      </c>
      <c r="J412" s="16">
        <f t="shared" si="38"/>
        <v>19</v>
      </c>
      <c r="K412" s="16">
        <f t="shared" si="39"/>
        <v>1</v>
      </c>
      <c r="L412" s="16">
        <f t="shared" si="40"/>
        <v>3</v>
      </c>
      <c r="M412" s="16">
        <f t="shared" si="41"/>
        <v>26</v>
      </c>
      <c r="N412" s="17" t="str">
        <f t="shared" si="42"/>
        <v>26.03.1989</v>
      </c>
      <c r="O412" s="32"/>
    </row>
    <row r="413" spans="9:15" x14ac:dyDescent="0.25">
      <c r="I413" s="21">
        <v>1988</v>
      </c>
      <c r="J413" s="16">
        <f t="shared" si="38"/>
        <v>19</v>
      </c>
      <c r="K413" s="16">
        <f t="shared" si="39"/>
        <v>12</v>
      </c>
      <c r="L413" s="16">
        <f t="shared" si="40"/>
        <v>0</v>
      </c>
      <c r="M413" s="16">
        <f t="shared" si="41"/>
        <v>34</v>
      </c>
      <c r="N413" s="17" t="str">
        <f t="shared" si="42"/>
        <v>03.04.1988</v>
      </c>
      <c r="O413" s="32"/>
    </row>
    <row r="414" spans="9:15" x14ac:dyDescent="0.25">
      <c r="I414" s="15">
        <v>1987</v>
      </c>
      <c r="J414" s="16">
        <f t="shared" si="38"/>
        <v>19</v>
      </c>
      <c r="K414" s="16">
        <f t="shared" si="39"/>
        <v>23</v>
      </c>
      <c r="L414" s="16">
        <f t="shared" si="40"/>
        <v>5</v>
      </c>
      <c r="M414" s="16">
        <f t="shared" si="41"/>
        <v>50</v>
      </c>
      <c r="N414" s="17" t="str">
        <f t="shared" si="42"/>
        <v>19.04.1987</v>
      </c>
      <c r="O414" s="32"/>
    </row>
    <row r="415" spans="9:15" x14ac:dyDescent="0.25">
      <c r="I415" s="21">
        <v>1986</v>
      </c>
      <c r="J415" s="16">
        <f t="shared" si="38"/>
        <v>19</v>
      </c>
      <c r="K415" s="16">
        <f t="shared" si="39"/>
        <v>4</v>
      </c>
      <c r="L415" s="16">
        <f t="shared" si="40"/>
        <v>4</v>
      </c>
      <c r="M415" s="16">
        <f t="shared" si="41"/>
        <v>30</v>
      </c>
      <c r="N415" s="17" t="str">
        <f t="shared" si="42"/>
        <v>30.03.1986</v>
      </c>
      <c r="O415" s="32"/>
    </row>
    <row r="416" spans="9:15" x14ac:dyDescent="0.25">
      <c r="I416" s="15">
        <v>1985</v>
      </c>
      <c r="J416" s="16">
        <f t="shared" si="38"/>
        <v>19</v>
      </c>
      <c r="K416" s="16">
        <f t="shared" si="39"/>
        <v>15</v>
      </c>
      <c r="L416" s="16">
        <f t="shared" si="40"/>
        <v>1</v>
      </c>
      <c r="M416" s="16">
        <f t="shared" si="41"/>
        <v>38</v>
      </c>
      <c r="N416" s="17" t="str">
        <f t="shared" si="42"/>
        <v>07.04.1985</v>
      </c>
      <c r="O416" s="32"/>
    </row>
    <row r="417" spans="9:16" x14ac:dyDescent="0.25">
      <c r="I417" s="21">
        <v>1984</v>
      </c>
      <c r="J417" s="16">
        <f t="shared" si="38"/>
        <v>19</v>
      </c>
      <c r="K417" s="16">
        <f t="shared" si="39"/>
        <v>26</v>
      </c>
      <c r="L417" s="16">
        <f t="shared" si="40"/>
        <v>5</v>
      </c>
      <c r="M417" s="16">
        <f t="shared" si="41"/>
        <v>53</v>
      </c>
      <c r="N417" s="17" t="str">
        <f t="shared" si="42"/>
        <v>22.04.1984</v>
      </c>
      <c r="O417" s="32"/>
    </row>
    <row r="418" spans="9:16" x14ac:dyDescent="0.25">
      <c r="I418" s="15">
        <v>1983</v>
      </c>
      <c r="J418" s="16">
        <f t="shared" si="38"/>
        <v>19</v>
      </c>
      <c r="K418" s="16">
        <f t="shared" si="39"/>
        <v>7</v>
      </c>
      <c r="L418" s="16">
        <f t="shared" si="40"/>
        <v>5</v>
      </c>
      <c r="M418" s="16">
        <f t="shared" si="41"/>
        <v>34</v>
      </c>
      <c r="N418" s="17" t="str">
        <f t="shared" si="42"/>
        <v>03.04.1983</v>
      </c>
      <c r="O418" s="32"/>
    </row>
    <row r="419" spans="9:16" x14ac:dyDescent="0.25">
      <c r="I419" s="21">
        <v>1982</v>
      </c>
      <c r="J419" s="16">
        <f t="shared" si="38"/>
        <v>19</v>
      </c>
      <c r="K419" s="16">
        <f t="shared" si="39"/>
        <v>18</v>
      </c>
      <c r="L419" s="16">
        <f t="shared" si="40"/>
        <v>2</v>
      </c>
      <c r="M419" s="16">
        <f t="shared" si="41"/>
        <v>42</v>
      </c>
      <c r="N419" s="17" t="str">
        <f t="shared" si="42"/>
        <v>11.04.1982</v>
      </c>
      <c r="O419" s="32"/>
    </row>
    <row r="420" spans="9:16" x14ac:dyDescent="0.25">
      <c r="I420" s="15">
        <v>1981</v>
      </c>
      <c r="J420" s="16">
        <f t="shared" si="38"/>
        <v>19</v>
      </c>
      <c r="K420" s="16">
        <f t="shared" si="39"/>
        <v>29</v>
      </c>
      <c r="L420" s="16">
        <f t="shared" si="40"/>
        <v>6</v>
      </c>
      <c r="M420" s="16">
        <f t="shared" si="41"/>
        <v>50</v>
      </c>
      <c r="N420" s="17" t="str">
        <f t="shared" si="42"/>
        <v>19.04.1981</v>
      </c>
      <c r="O420" s="32"/>
    </row>
    <row r="421" spans="9:16" x14ac:dyDescent="0.25">
      <c r="I421" s="21">
        <v>1980</v>
      </c>
      <c r="J421" s="16">
        <f t="shared" si="38"/>
        <v>19</v>
      </c>
      <c r="K421" s="16">
        <f t="shared" si="39"/>
        <v>10</v>
      </c>
      <c r="L421" s="16">
        <f t="shared" si="40"/>
        <v>5</v>
      </c>
      <c r="M421" s="16">
        <f t="shared" si="41"/>
        <v>37</v>
      </c>
      <c r="N421" s="17" t="str">
        <f t="shared" si="42"/>
        <v>06.04.1980</v>
      </c>
      <c r="O421" s="32"/>
    </row>
    <row r="422" spans="9:16" x14ac:dyDescent="0.25">
      <c r="I422" s="15">
        <v>1979</v>
      </c>
      <c r="J422" s="16">
        <f t="shared" ref="J422:J485" si="43">INT(I422/100)</f>
        <v>19</v>
      </c>
      <c r="K422" s="16">
        <f t="shared" ref="K422:K485" si="44">MOD(19*MOD(I422,19)+J422-INT(J422/4)-INT((J422-INT((J422+8)/25)+1)/3)+15,30)</f>
        <v>21</v>
      </c>
      <c r="L422" s="16">
        <f t="shared" ref="L422:L485" si="45">MOD(32+2*MOD(J422,4)+2*INT(MOD(I422,100)/4)-K422-MOD(MOD(I422,100),4),7)</f>
        <v>3</v>
      </c>
      <c r="M422" s="16">
        <f t="shared" ref="M422:M485" si="46">K422+L422-7*INT((MOD(I422,19)+11*K422+22*L422)/451)+22</f>
        <v>46</v>
      </c>
      <c r="N422" s="17" t="str">
        <f t="shared" ref="N422:N485" si="47">TEXT(IF(M422-31 &lt; 1,M422,M422-31),"0#")&amp;"."&amp;IF(M422 &gt; 31,"04.","03.")&amp;I422</f>
        <v>15.04.1979</v>
      </c>
      <c r="O422" s="32"/>
    </row>
    <row r="423" spans="9:16" x14ac:dyDescent="0.25">
      <c r="I423" s="21">
        <v>1978</v>
      </c>
      <c r="J423" s="16">
        <f t="shared" si="43"/>
        <v>19</v>
      </c>
      <c r="K423" s="16">
        <f t="shared" si="44"/>
        <v>2</v>
      </c>
      <c r="L423" s="16">
        <f t="shared" si="45"/>
        <v>2</v>
      </c>
      <c r="M423" s="16">
        <f t="shared" si="46"/>
        <v>26</v>
      </c>
      <c r="N423" s="17" t="str">
        <f t="shared" si="47"/>
        <v>26.03.1978</v>
      </c>
      <c r="O423" s="32"/>
    </row>
    <row r="424" spans="9:16" x14ac:dyDescent="0.25">
      <c r="I424" s="15">
        <v>1977</v>
      </c>
      <c r="J424" s="16">
        <f t="shared" si="43"/>
        <v>19</v>
      </c>
      <c r="K424" s="16">
        <f t="shared" si="44"/>
        <v>13</v>
      </c>
      <c r="L424" s="16">
        <f t="shared" si="45"/>
        <v>6</v>
      </c>
      <c r="M424" s="16">
        <f t="shared" si="46"/>
        <v>41</v>
      </c>
      <c r="N424" s="17" t="str">
        <f t="shared" si="47"/>
        <v>10.04.1977</v>
      </c>
      <c r="O424" s="32"/>
      <c r="P424" s="33"/>
    </row>
    <row r="425" spans="9:16" x14ac:dyDescent="0.25">
      <c r="I425" s="21">
        <v>1976</v>
      </c>
      <c r="J425" s="16">
        <f t="shared" si="43"/>
        <v>19</v>
      </c>
      <c r="K425" s="16">
        <f t="shared" si="44"/>
        <v>24</v>
      </c>
      <c r="L425" s="16">
        <f t="shared" si="45"/>
        <v>3</v>
      </c>
      <c r="M425" s="16">
        <f t="shared" si="46"/>
        <v>49</v>
      </c>
      <c r="N425" s="17" t="str">
        <f t="shared" si="47"/>
        <v>18.04.1976</v>
      </c>
      <c r="O425" s="32"/>
    </row>
    <row r="426" spans="9:16" x14ac:dyDescent="0.25">
      <c r="I426" s="15">
        <v>1975</v>
      </c>
      <c r="J426" s="16">
        <f t="shared" si="43"/>
        <v>19</v>
      </c>
      <c r="K426" s="16">
        <f t="shared" si="44"/>
        <v>6</v>
      </c>
      <c r="L426" s="16">
        <f t="shared" si="45"/>
        <v>2</v>
      </c>
      <c r="M426" s="16">
        <f t="shared" si="46"/>
        <v>30</v>
      </c>
      <c r="N426" s="17" t="str">
        <f t="shared" si="47"/>
        <v>30.03.1975</v>
      </c>
      <c r="O426" s="32"/>
    </row>
    <row r="427" spans="9:16" x14ac:dyDescent="0.25">
      <c r="I427" s="21">
        <v>1974</v>
      </c>
      <c r="J427" s="16">
        <f t="shared" si="43"/>
        <v>19</v>
      </c>
      <c r="K427" s="16">
        <f t="shared" si="44"/>
        <v>17</v>
      </c>
      <c r="L427" s="16">
        <f t="shared" si="45"/>
        <v>6</v>
      </c>
      <c r="M427" s="16">
        <f t="shared" si="46"/>
        <v>45</v>
      </c>
      <c r="N427" s="17" t="str">
        <f t="shared" si="47"/>
        <v>14.04.1974</v>
      </c>
      <c r="O427" s="32"/>
    </row>
    <row r="428" spans="9:16" x14ac:dyDescent="0.25">
      <c r="I428" s="15">
        <v>1973</v>
      </c>
      <c r="J428" s="16">
        <f t="shared" si="43"/>
        <v>19</v>
      </c>
      <c r="K428" s="16">
        <f t="shared" si="44"/>
        <v>28</v>
      </c>
      <c r="L428" s="16">
        <f t="shared" si="45"/>
        <v>3</v>
      </c>
      <c r="M428" s="16">
        <f t="shared" si="46"/>
        <v>53</v>
      </c>
      <c r="N428" s="17" t="str">
        <f t="shared" si="47"/>
        <v>22.04.1973</v>
      </c>
      <c r="O428" s="32"/>
    </row>
    <row r="429" spans="9:16" x14ac:dyDescent="0.25">
      <c r="I429" s="21">
        <v>1972</v>
      </c>
      <c r="J429" s="16">
        <f t="shared" si="43"/>
        <v>19</v>
      </c>
      <c r="K429" s="16">
        <f t="shared" si="44"/>
        <v>9</v>
      </c>
      <c r="L429" s="16">
        <f t="shared" si="45"/>
        <v>2</v>
      </c>
      <c r="M429" s="16">
        <f t="shared" si="46"/>
        <v>33</v>
      </c>
      <c r="N429" s="17" t="str">
        <f t="shared" si="47"/>
        <v>02.04.1972</v>
      </c>
      <c r="O429" s="32"/>
    </row>
    <row r="430" spans="9:16" x14ac:dyDescent="0.25">
      <c r="I430" s="15">
        <v>1971</v>
      </c>
      <c r="J430" s="16">
        <f t="shared" si="43"/>
        <v>19</v>
      </c>
      <c r="K430" s="16">
        <f t="shared" si="44"/>
        <v>20</v>
      </c>
      <c r="L430" s="16">
        <f t="shared" si="45"/>
        <v>0</v>
      </c>
      <c r="M430" s="16">
        <f t="shared" si="46"/>
        <v>42</v>
      </c>
      <c r="N430" s="17" t="str">
        <f t="shared" si="47"/>
        <v>11.04.1971</v>
      </c>
      <c r="O430" s="32"/>
    </row>
    <row r="431" spans="9:16" x14ac:dyDescent="0.25">
      <c r="I431" s="21">
        <v>1970</v>
      </c>
      <c r="J431" s="16">
        <f t="shared" si="43"/>
        <v>19</v>
      </c>
      <c r="K431" s="16">
        <f t="shared" si="44"/>
        <v>1</v>
      </c>
      <c r="L431" s="16">
        <f t="shared" si="45"/>
        <v>6</v>
      </c>
      <c r="M431" s="16">
        <f t="shared" si="46"/>
        <v>29</v>
      </c>
      <c r="N431" s="17" t="str">
        <f t="shared" si="47"/>
        <v>29.03.1970</v>
      </c>
      <c r="O431" s="32"/>
    </row>
    <row r="432" spans="9:16" x14ac:dyDescent="0.25">
      <c r="I432" s="15">
        <v>1969</v>
      </c>
      <c r="J432" s="16">
        <f t="shared" si="43"/>
        <v>19</v>
      </c>
      <c r="K432" s="16">
        <f t="shared" si="44"/>
        <v>12</v>
      </c>
      <c r="L432" s="16">
        <f t="shared" si="45"/>
        <v>3</v>
      </c>
      <c r="M432" s="16">
        <f t="shared" si="46"/>
        <v>37</v>
      </c>
      <c r="N432" s="17" t="str">
        <f t="shared" si="47"/>
        <v>06.04.1969</v>
      </c>
      <c r="O432" s="32"/>
    </row>
    <row r="433" spans="9:15" x14ac:dyDescent="0.25">
      <c r="I433" s="21">
        <v>1968</v>
      </c>
      <c r="J433" s="16">
        <f t="shared" si="43"/>
        <v>19</v>
      </c>
      <c r="K433" s="16">
        <f t="shared" si="44"/>
        <v>23</v>
      </c>
      <c r="L433" s="16">
        <f t="shared" si="45"/>
        <v>0</v>
      </c>
      <c r="M433" s="16">
        <f t="shared" si="46"/>
        <v>45</v>
      </c>
      <c r="N433" s="17" t="str">
        <f t="shared" si="47"/>
        <v>14.04.1968</v>
      </c>
      <c r="O433" s="32"/>
    </row>
    <row r="434" spans="9:15" x14ac:dyDescent="0.25">
      <c r="I434" s="15">
        <v>1967</v>
      </c>
      <c r="J434" s="16">
        <f t="shared" si="43"/>
        <v>19</v>
      </c>
      <c r="K434" s="16">
        <f t="shared" si="44"/>
        <v>4</v>
      </c>
      <c r="L434" s="16">
        <f t="shared" si="45"/>
        <v>0</v>
      </c>
      <c r="M434" s="16">
        <f t="shared" si="46"/>
        <v>26</v>
      </c>
      <c r="N434" s="17" t="str">
        <f t="shared" si="47"/>
        <v>26.03.1967</v>
      </c>
      <c r="O434" s="32"/>
    </row>
    <row r="435" spans="9:15" x14ac:dyDescent="0.25">
      <c r="I435" s="21">
        <v>1966</v>
      </c>
      <c r="J435" s="16">
        <f t="shared" si="43"/>
        <v>19</v>
      </c>
      <c r="K435" s="16">
        <f t="shared" si="44"/>
        <v>15</v>
      </c>
      <c r="L435" s="16">
        <f t="shared" si="45"/>
        <v>4</v>
      </c>
      <c r="M435" s="16">
        <f t="shared" si="46"/>
        <v>41</v>
      </c>
      <c r="N435" s="17" t="str">
        <f t="shared" si="47"/>
        <v>10.04.1966</v>
      </c>
      <c r="O435" s="32"/>
    </row>
    <row r="436" spans="9:15" x14ac:dyDescent="0.25">
      <c r="I436" s="15">
        <v>1965</v>
      </c>
      <c r="J436" s="16">
        <f t="shared" si="43"/>
        <v>19</v>
      </c>
      <c r="K436" s="16">
        <f t="shared" si="44"/>
        <v>26</v>
      </c>
      <c r="L436" s="16">
        <f t="shared" si="45"/>
        <v>1</v>
      </c>
      <c r="M436" s="16">
        <f t="shared" si="46"/>
        <v>49</v>
      </c>
      <c r="N436" s="17" t="str">
        <f t="shared" si="47"/>
        <v>18.04.1965</v>
      </c>
      <c r="O436" s="32"/>
    </row>
    <row r="437" spans="9:15" x14ac:dyDescent="0.25">
      <c r="I437" s="21">
        <v>1964</v>
      </c>
      <c r="J437" s="16">
        <f t="shared" si="43"/>
        <v>19</v>
      </c>
      <c r="K437" s="16">
        <f t="shared" si="44"/>
        <v>7</v>
      </c>
      <c r="L437" s="16">
        <f t="shared" si="45"/>
        <v>0</v>
      </c>
      <c r="M437" s="16">
        <f t="shared" si="46"/>
        <v>29</v>
      </c>
      <c r="N437" s="17" t="str">
        <f t="shared" si="47"/>
        <v>29.03.1964</v>
      </c>
      <c r="O437" s="32"/>
    </row>
    <row r="438" spans="9:15" x14ac:dyDescent="0.25">
      <c r="I438" s="15">
        <v>1963</v>
      </c>
      <c r="J438" s="16">
        <f t="shared" si="43"/>
        <v>19</v>
      </c>
      <c r="K438" s="16">
        <f t="shared" si="44"/>
        <v>18</v>
      </c>
      <c r="L438" s="16">
        <f t="shared" si="45"/>
        <v>5</v>
      </c>
      <c r="M438" s="16">
        <f t="shared" si="46"/>
        <v>45</v>
      </c>
      <c r="N438" s="17" t="str">
        <f t="shared" si="47"/>
        <v>14.04.1963</v>
      </c>
      <c r="O438" s="32"/>
    </row>
    <row r="439" spans="9:15" x14ac:dyDescent="0.25">
      <c r="I439" s="21">
        <v>1962</v>
      </c>
      <c r="J439" s="16">
        <f t="shared" si="43"/>
        <v>19</v>
      </c>
      <c r="K439" s="16">
        <f t="shared" si="44"/>
        <v>29</v>
      </c>
      <c r="L439" s="16">
        <f t="shared" si="45"/>
        <v>2</v>
      </c>
      <c r="M439" s="16">
        <f t="shared" si="46"/>
        <v>53</v>
      </c>
      <c r="N439" s="17" t="str">
        <f t="shared" si="47"/>
        <v>22.04.1962</v>
      </c>
      <c r="O439" s="32"/>
    </row>
    <row r="440" spans="9:15" x14ac:dyDescent="0.25">
      <c r="I440" s="15">
        <v>1961</v>
      </c>
      <c r="J440" s="16">
        <f t="shared" si="43"/>
        <v>19</v>
      </c>
      <c r="K440" s="16">
        <f t="shared" si="44"/>
        <v>10</v>
      </c>
      <c r="L440" s="16">
        <f t="shared" si="45"/>
        <v>1</v>
      </c>
      <c r="M440" s="16">
        <f t="shared" si="46"/>
        <v>33</v>
      </c>
      <c r="N440" s="17" t="str">
        <f t="shared" si="47"/>
        <v>02.04.1961</v>
      </c>
      <c r="O440" s="32"/>
    </row>
    <row r="441" spans="9:15" x14ac:dyDescent="0.25">
      <c r="I441" s="21">
        <v>1960</v>
      </c>
      <c r="J441" s="16">
        <f t="shared" si="43"/>
        <v>19</v>
      </c>
      <c r="K441" s="16">
        <f t="shared" si="44"/>
        <v>21</v>
      </c>
      <c r="L441" s="16">
        <f t="shared" si="45"/>
        <v>5</v>
      </c>
      <c r="M441" s="16">
        <f t="shared" si="46"/>
        <v>48</v>
      </c>
      <c r="N441" s="17" t="str">
        <f t="shared" si="47"/>
        <v>17.04.1960</v>
      </c>
      <c r="O441" s="32"/>
    </row>
    <row r="442" spans="9:15" x14ac:dyDescent="0.25">
      <c r="I442" s="15">
        <v>1959</v>
      </c>
      <c r="J442" s="16">
        <f t="shared" si="43"/>
        <v>19</v>
      </c>
      <c r="K442" s="16">
        <f t="shared" si="44"/>
        <v>2</v>
      </c>
      <c r="L442" s="16">
        <f t="shared" si="45"/>
        <v>5</v>
      </c>
      <c r="M442" s="16">
        <f t="shared" si="46"/>
        <v>29</v>
      </c>
      <c r="N442" s="17" t="str">
        <f t="shared" si="47"/>
        <v>29.03.1959</v>
      </c>
      <c r="O442" s="32"/>
    </row>
    <row r="443" spans="9:15" x14ac:dyDescent="0.25">
      <c r="I443" s="21">
        <v>1958</v>
      </c>
      <c r="J443" s="16">
        <f t="shared" si="43"/>
        <v>19</v>
      </c>
      <c r="K443" s="16">
        <f t="shared" si="44"/>
        <v>13</v>
      </c>
      <c r="L443" s="16">
        <f t="shared" si="45"/>
        <v>2</v>
      </c>
      <c r="M443" s="16">
        <f t="shared" si="46"/>
        <v>37</v>
      </c>
      <c r="N443" s="17" t="str">
        <f t="shared" si="47"/>
        <v>06.04.1958</v>
      </c>
      <c r="O443" s="32"/>
    </row>
    <row r="444" spans="9:15" x14ac:dyDescent="0.25">
      <c r="I444" s="15">
        <v>1957</v>
      </c>
      <c r="J444" s="16">
        <f t="shared" si="43"/>
        <v>19</v>
      </c>
      <c r="K444" s="16">
        <f t="shared" si="44"/>
        <v>24</v>
      </c>
      <c r="L444" s="16">
        <f t="shared" si="45"/>
        <v>6</v>
      </c>
      <c r="M444" s="16">
        <f t="shared" si="46"/>
        <v>52</v>
      </c>
      <c r="N444" s="17" t="str">
        <f t="shared" si="47"/>
        <v>21.04.1957</v>
      </c>
      <c r="O444" s="32"/>
    </row>
    <row r="445" spans="9:15" x14ac:dyDescent="0.25">
      <c r="I445" s="21">
        <v>1956</v>
      </c>
      <c r="J445" s="16">
        <f t="shared" si="43"/>
        <v>19</v>
      </c>
      <c r="K445" s="16">
        <f t="shared" si="44"/>
        <v>6</v>
      </c>
      <c r="L445" s="16">
        <f t="shared" si="45"/>
        <v>4</v>
      </c>
      <c r="M445" s="16">
        <f t="shared" si="46"/>
        <v>32</v>
      </c>
      <c r="N445" s="17" t="str">
        <f t="shared" si="47"/>
        <v>01.04.1956</v>
      </c>
      <c r="O445" s="32"/>
    </row>
    <row r="446" spans="9:15" x14ac:dyDescent="0.25">
      <c r="I446" s="15">
        <v>1955</v>
      </c>
      <c r="J446" s="16">
        <f t="shared" si="43"/>
        <v>19</v>
      </c>
      <c r="K446" s="16">
        <f t="shared" si="44"/>
        <v>17</v>
      </c>
      <c r="L446" s="16">
        <f t="shared" si="45"/>
        <v>2</v>
      </c>
      <c r="M446" s="16">
        <f t="shared" si="46"/>
        <v>41</v>
      </c>
      <c r="N446" s="17" t="str">
        <f t="shared" si="47"/>
        <v>10.04.1955</v>
      </c>
      <c r="O446" s="32"/>
    </row>
    <row r="447" spans="9:15" x14ac:dyDescent="0.25">
      <c r="I447" s="21">
        <v>1954</v>
      </c>
      <c r="J447" s="16">
        <f t="shared" si="43"/>
        <v>19</v>
      </c>
      <c r="K447" s="16">
        <f t="shared" si="44"/>
        <v>28</v>
      </c>
      <c r="L447" s="16">
        <f t="shared" si="45"/>
        <v>6</v>
      </c>
      <c r="M447" s="16">
        <f t="shared" si="46"/>
        <v>49</v>
      </c>
      <c r="N447" s="17" t="str">
        <f t="shared" si="47"/>
        <v>18.04.1954</v>
      </c>
      <c r="O447" s="32"/>
    </row>
    <row r="448" spans="9:15" x14ac:dyDescent="0.25">
      <c r="I448" s="15">
        <v>1953</v>
      </c>
      <c r="J448" s="16">
        <f t="shared" si="43"/>
        <v>19</v>
      </c>
      <c r="K448" s="16">
        <f t="shared" si="44"/>
        <v>9</v>
      </c>
      <c r="L448" s="16">
        <f t="shared" si="45"/>
        <v>5</v>
      </c>
      <c r="M448" s="16">
        <f t="shared" si="46"/>
        <v>36</v>
      </c>
      <c r="N448" s="17" t="str">
        <f t="shared" si="47"/>
        <v>05.04.1953</v>
      </c>
      <c r="O448" s="32"/>
    </row>
    <row r="449" spans="9:15" x14ac:dyDescent="0.25">
      <c r="I449" s="21">
        <v>1952</v>
      </c>
      <c r="J449" s="16">
        <f t="shared" si="43"/>
        <v>19</v>
      </c>
      <c r="K449" s="16">
        <f t="shared" si="44"/>
        <v>20</v>
      </c>
      <c r="L449" s="16">
        <f t="shared" si="45"/>
        <v>2</v>
      </c>
      <c r="M449" s="16">
        <f t="shared" si="46"/>
        <v>44</v>
      </c>
      <c r="N449" s="17" t="str">
        <f t="shared" si="47"/>
        <v>13.04.1952</v>
      </c>
      <c r="O449" s="32"/>
    </row>
    <row r="450" spans="9:15" x14ac:dyDescent="0.25">
      <c r="I450" s="15">
        <v>1951</v>
      </c>
      <c r="J450" s="16">
        <f t="shared" si="43"/>
        <v>19</v>
      </c>
      <c r="K450" s="16">
        <f t="shared" si="44"/>
        <v>1</v>
      </c>
      <c r="L450" s="16">
        <f t="shared" si="45"/>
        <v>2</v>
      </c>
      <c r="M450" s="16">
        <f t="shared" si="46"/>
        <v>25</v>
      </c>
      <c r="N450" s="17" t="str">
        <f t="shared" si="47"/>
        <v>25.03.1951</v>
      </c>
      <c r="O450" s="32"/>
    </row>
    <row r="451" spans="9:15" x14ac:dyDescent="0.25">
      <c r="I451" s="21">
        <v>1950</v>
      </c>
      <c r="J451" s="16">
        <f t="shared" si="43"/>
        <v>19</v>
      </c>
      <c r="K451" s="16">
        <f t="shared" si="44"/>
        <v>12</v>
      </c>
      <c r="L451" s="16">
        <f t="shared" si="45"/>
        <v>6</v>
      </c>
      <c r="M451" s="16">
        <f t="shared" si="46"/>
        <v>40</v>
      </c>
      <c r="N451" s="17" t="str">
        <f t="shared" si="47"/>
        <v>09.04.1950</v>
      </c>
      <c r="O451" s="32"/>
    </row>
    <row r="452" spans="9:15" x14ac:dyDescent="0.25">
      <c r="I452" s="15">
        <v>1949</v>
      </c>
      <c r="J452" s="16">
        <f t="shared" si="43"/>
        <v>19</v>
      </c>
      <c r="K452" s="16">
        <f t="shared" si="44"/>
        <v>23</v>
      </c>
      <c r="L452" s="16">
        <f t="shared" si="45"/>
        <v>3</v>
      </c>
      <c r="M452" s="16">
        <f t="shared" si="46"/>
        <v>48</v>
      </c>
      <c r="N452" s="17" t="str">
        <f t="shared" si="47"/>
        <v>17.04.1949</v>
      </c>
      <c r="O452" s="32"/>
    </row>
    <row r="453" spans="9:15" x14ac:dyDescent="0.25">
      <c r="I453" s="21">
        <v>1948</v>
      </c>
      <c r="J453" s="16">
        <f t="shared" si="43"/>
        <v>19</v>
      </c>
      <c r="K453" s="16">
        <f t="shared" si="44"/>
        <v>4</v>
      </c>
      <c r="L453" s="16">
        <f t="shared" si="45"/>
        <v>2</v>
      </c>
      <c r="M453" s="16">
        <f t="shared" si="46"/>
        <v>28</v>
      </c>
      <c r="N453" s="17" t="str">
        <f t="shared" si="47"/>
        <v>28.03.1948</v>
      </c>
      <c r="O453" s="32"/>
    </row>
    <row r="454" spans="9:15" x14ac:dyDescent="0.25">
      <c r="I454" s="15">
        <v>1947</v>
      </c>
      <c r="J454" s="16">
        <f t="shared" si="43"/>
        <v>19</v>
      </c>
      <c r="K454" s="16">
        <f t="shared" si="44"/>
        <v>15</v>
      </c>
      <c r="L454" s="16">
        <f t="shared" si="45"/>
        <v>0</v>
      </c>
      <c r="M454" s="16">
        <f t="shared" si="46"/>
        <v>37</v>
      </c>
      <c r="N454" s="17" t="str">
        <f t="shared" si="47"/>
        <v>06.04.1947</v>
      </c>
      <c r="O454" s="32"/>
    </row>
    <row r="455" spans="9:15" x14ac:dyDescent="0.25">
      <c r="I455" s="21">
        <v>1946</v>
      </c>
      <c r="J455" s="16">
        <f t="shared" si="43"/>
        <v>19</v>
      </c>
      <c r="K455" s="16">
        <f t="shared" si="44"/>
        <v>26</v>
      </c>
      <c r="L455" s="16">
        <f t="shared" si="45"/>
        <v>4</v>
      </c>
      <c r="M455" s="16">
        <f t="shared" si="46"/>
        <v>52</v>
      </c>
      <c r="N455" s="17" t="str">
        <f t="shared" si="47"/>
        <v>21.04.1946</v>
      </c>
      <c r="O455" s="32"/>
    </row>
    <row r="456" spans="9:15" x14ac:dyDescent="0.25">
      <c r="I456" s="15">
        <v>1945</v>
      </c>
      <c r="J456" s="16">
        <f t="shared" si="43"/>
        <v>19</v>
      </c>
      <c r="K456" s="16">
        <f t="shared" si="44"/>
        <v>7</v>
      </c>
      <c r="L456" s="16">
        <f t="shared" si="45"/>
        <v>3</v>
      </c>
      <c r="M456" s="16">
        <f t="shared" si="46"/>
        <v>32</v>
      </c>
      <c r="N456" s="17" t="str">
        <f t="shared" si="47"/>
        <v>01.04.1945</v>
      </c>
      <c r="O456" s="32"/>
    </row>
    <row r="457" spans="9:15" x14ac:dyDescent="0.25">
      <c r="I457" s="21">
        <v>1944</v>
      </c>
      <c r="J457" s="16">
        <f t="shared" si="43"/>
        <v>19</v>
      </c>
      <c r="K457" s="16">
        <f t="shared" si="44"/>
        <v>18</v>
      </c>
      <c r="L457" s="16">
        <f t="shared" si="45"/>
        <v>0</v>
      </c>
      <c r="M457" s="16">
        <f t="shared" si="46"/>
        <v>40</v>
      </c>
      <c r="N457" s="17" t="str">
        <f t="shared" si="47"/>
        <v>09.04.1944</v>
      </c>
      <c r="O457" s="32"/>
    </row>
    <row r="458" spans="9:15" x14ac:dyDescent="0.25">
      <c r="I458" s="15">
        <v>1943</v>
      </c>
      <c r="J458" s="16">
        <f t="shared" si="43"/>
        <v>19</v>
      </c>
      <c r="K458" s="16">
        <f t="shared" si="44"/>
        <v>29</v>
      </c>
      <c r="L458" s="16">
        <f t="shared" si="45"/>
        <v>5</v>
      </c>
      <c r="M458" s="16">
        <f t="shared" si="46"/>
        <v>56</v>
      </c>
      <c r="N458" s="17" t="str">
        <f t="shared" si="47"/>
        <v>25.04.1943</v>
      </c>
      <c r="O458" s="32"/>
    </row>
    <row r="459" spans="9:15" x14ac:dyDescent="0.25">
      <c r="I459" s="21">
        <v>1942</v>
      </c>
      <c r="J459" s="16">
        <f t="shared" si="43"/>
        <v>19</v>
      </c>
      <c r="K459" s="16">
        <f t="shared" si="44"/>
        <v>10</v>
      </c>
      <c r="L459" s="16">
        <f t="shared" si="45"/>
        <v>4</v>
      </c>
      <c r="M459" s="16">
        <f t="shared" si="46"/>
        <v>36</v>
      </c>
      <c r="N459" s="17" t="str">
        <f t="shared" si="47"/>
        <v>05.04.1942</v>
      </c>
      <c r="O459" s="32"/>
    </row>
    <row r="460" spans="9:15" x14ac:dyDescent="0.25">
      <c r="I460" s="15">
        <v>1941</v>
      </c>
      <c r="J460" s="16">
        <f t="shared" si="43"/>
        <v>19</v>
      </c>
      <c r="K460" s="16">
        <f t="shared" si="44"/>
        <v>21</v>
      </c>
      <c r="L460" s="16">
        <f t="shared" si="45"/>
        <v>1</v>
      </c>
      <c r="M460" s="16">
        <f t="shared" si="46"/>
        <v>44</v>
      </c>
      <c r="N460" s="17" t="str">
        <f t="shared" si="47"/>
        <v>13.04.1941</v>
      </c>
      <c r="O460" s="32"/>
    </row>
    <row r="461" spans="9:15" x14ac:dyDescent="0.25">
      <c r="I461" s="21">
        <v>1940</v>
      </c>
      <c r="J461" s="16">
        <f t="shared" si="43"/>
        <v>19</v>
      </c>
      <c r="K461" s="16">
        <f t="shared" si="44"/>
        <v>2</v>
      </c>
      <c r="L461" s="16">
        <f t="shared" si="45"/>
        <v>0</v>
      </c>
      <c r="M461" s="16">
        <f t="shared" si="46"/>
        <v>24</v>
      </c>
      <c r="N461" s="17" t="str">
        <f t="shared" si="47"/>
        <v>24.03.1940</v>
      </c>
      <c r="O461" s="32"/>
    </row>
    <row r="462" spans="9:15" x14ac:dyDescent="0.25">
      <c r="I462" s="15">
        <v>1939</v>
      </c>
      <c r="J462" s="16">
        <f t="shared" si="43"/>
        <v>19</v>
      </c>
      <c r="K462" s="16">
        <f t="shared" si="44"/>
        <v>13</v>
      </c>
      <c r="L462" s="16">
        <f t="shared" si="45"/>
        <v>5</v>
      </c>
      <c r="M462" s="16">
        <f t="shared" si="46"/>
        <v>40</v>
      </c>
      <c r="N462" s="17" t="str">
        <f t="shared" si="47"/>
        <v>09.04.1939</v>
      </c>
      <c r="O462" s="32"/>
    </row>
    <row r="463" spans="9:15" x14ac:dyDescent="0.25">
      <c r="I463" s="21">
        <v>1938</v>
      </c>
      <c r="J463" s="16">
        <f t="shared" si="43"/>
        <v>19</v>
      </c>
      <c r="K463" s="16">
        <f t="shared" si="44"/>
        <v>24</v>
      </c>
      <c r="L463" s="16">
        <f t="shared" si="45"/>
        <v>2</v>
      </c>
      <c r="M463" s="16">
        <f t="shared" si="46"/>
        <v>48</v>
      </c>
      <c r="N463" s="17" t="str">
        <f t="shared" si="47"/>
        <v>17.04.1938</v>
      </c>
      <c r="O463" s="32"/>
    </row>
    <row r="464" spans="9:15" x14ac:dyDescent="0.25">
      <c r="I464" s="15">
        <v>1937</v>
      </c>
      <c r="J464" s="16">
        <f t="shared" si="43"/>
        <v>19</v>
      </c>
      <c r="K464" s="16">
        <f t="shared" si="44"/>
        <v>6</v>
      </c>
      <c r="L464" s="16">
        <f t="shared" si="45"/>
        <v>0</v>
      </c>
      <c r="M464" s="16">
        <f t="shared" si="46"/>
        <v>28</v>
      </c>
      <c r="N464" s="17" t="str">
        <f t="shared" si="47"/>
        <v>28.03.1937</v>
      </c>
      <c r="O464" s="32"/>
    </row>
    <row r="465" spans="9:15" x14ac:dyDescent="0.25">
      <c r="I465" s="21">
        <v>1936</v>
      </c>
      <c r="J465" s="16">
        <f t="shared" si="43"/>
        <v>19</v>
      </c>
      <c r="K465" s="16">
        <f t="shared" si="44"/>
        <v>17</v>
      </c>
      <c r="L465" s="16">
        <f t="shared" si="45"/>
        <v>4</v>
      </c>
      <c r="M465" s="16">
        <f t="shared" si="46"/>
        <v>43</v>
      </c>
      <c r="N465" s="17" t="str">
        <f t="shared" si="47"/>
        <v>12.04.1936</v>
      </c>
      <c r="O465" s="32"/>
    </row>
    <row r="466" spans="9:15" x14ac:dyDescent="0.25">
      <c r="I466" s="15">
        <v>1935</v>
      </c>
      <c r="J466" s="16">
        <f t="shared" si="43"/>
        <v>19</v>
      </c>
      <c r="K466" s="16">
        <f t="shared" si="44"/>
        <v>28</v>
      </c>
      <c r="L466" s="16">
        <f t="shared" si="45"/>
        <v>2</v>
      </c>
      <c r="M466" s="16">
        <f t="shared" si="46"/>
        <v>52</v>
      </c>
      <c r="N466" s="17" t="str">
        <f t="shared" si="47"/>
        <v>21.04.1935</v>
      </c>
      <c r="O466" s="32"/>
    </row>
    <row r="467" spans="9:15" x14ac:dyDescent="0.25">
      <c r="I467" s="21">
        <v>1934</v>
      </c>
      <c r="J467" s="16">
        <f t="shared" si="43"/>
        <v>19</v>
      </c>
      <c r="K467" s="16">
        <f t="shared" si="44"/>
        <v>9</v>
      </c>
      <c r="L467" s="16">
        <f t="shared" si="45"/>
        <v>1</v>
      </c>
      <c r="M467" s="16">
        <f t="shared" si="46"/>
        <v>32</v>
      </c>
      <c r="N467" s="17" t="str">
        <f t="shared" si="47"/>
        <v>01.04.1934</v>
      </c>
      <c r="O467" s="32"/>
    </row>
    <row r="468" spans="9:15" x14ac:dyDescent="0.25">
      <c r="I468" s="15">
        <v>1933</v>
      </c>
      <c r="J468" s="16">
        <f t="shared" si="43"/>
        <v>19</v>
      </c>
      <c r="K468" s="16">
        <f t="shared" si="44"/>
        <v>20</v>
      </c>
      <c r="L468" s="16">
        <f t="shared" si="45"/>
        <v>5</v>
      </c>
      <c r="M468" s="16">
        <f t="shared" si="46"/>
        <v>47</v>
      </c>
      <c r="N468" s="17" t="str">
        <f t="shared" si="47"/>
        <v>16.04.1933</v>
      </c>
      <c r="O468" s="32"/>
    </row>
    <row r="469" spans="9:15" x14ac:dyDescent="0.25">
      <c r="I469" s="21">
        <v>1932</v>
      </c>
      <c r="J469" s="16">
        <f t="shared" si="43"/>
        <v>19</v>
      </c>
      <c r="K469" s="16">
        <f t="shared" si="44"/>
        <v>1</v>
      </c>
      <c r="L469" s="16">
        <f t="shared" si="45"/>
        <v>4</v>
      </c>
      <c r="M469" s="16">
        <f t="shared" si="46"/>
        <v>27</v>
      </c>
      <c r="N469" s="17" t="str">
        <f t="shared" si="47"/>
        <v>27.03.1932</v>
      </c>
      <c r="O469" s="32"/>
    </row>
    <row r="470" spans="9:15" x14ac:dyDescent="0.25">
      <c r="I470" s="15">
        <v>1931</v>
      </c>
      <c r="J470" s="16">
        <f t="shared" si="43"/>
        <v>19</v>
      </c>
      <c r="K470" s="16">
        <f t="shared" si="44"/>
        <v>12</v>
      </c>
      <c r="L470" s="16">
        <f t="shared" si="45"/>
        <v>2</v>
      </c>
      <c r="M470" s="16">
        <f t="shared" si="46"/>
        <v>36</v>
      </c>
      <c r="N470" s="17" t="str">
        <f t="shared" si="47"/>
        <v>05.04.1931</v>
      </c>
      <c r="O470" s="32"/>
    </row>
    <row r="471" spans="9:15" x14ac:dyDescent="0.25">
      <c r="I471" s="21">
        <v>1930</v>
      </c>
      <c r="J471" s="16">
        <f t="shared" si="43"/>
        <v>19</v>
      </c>
      <c r="K471" s="16">
        <f t="shared" si="44"/>
        <v>23</v>
      </c>
      <c r="L471" s="16">
        <f t="shared" si="45"/>
        <v>6</v>
      </c>
      <c r="M471" s="16">
        <f t="shared" si="46"/>
        <v>51</v>
      </c>
      <c r="N471" s="17" t="str">
        <f t="shared" si="47"/>
        <v>20.04.1930</v>
      </c>
      <c r="O471" s="32"/>
    </row>
    <row r="472" spans="9:15" x14ac:dyDescent="0.25">
      <c r="I472" s="15">
        <v>1929</v>
      </c>
      <c r="J472" s="16">
        <f t="shared" si="43"/>
        <v>19</v>
      </c>
      <c r="K472" s="16">
        <f t="shared" si="44"/>
        <v>4</v>
      </c>
      <c r="L472" s="16">
        <f t="shared" si="45"/>
        <v>5</v>
      </c>
      <c r="M472" s="16">
        <f t="shared" si="46"/>
        <v>31</v>
      </c>
      <c r="N472" s="17" t="str">
        <f t="shared" si="47"/>
        <v>31.03.1929</v>
      </c>
      <c r="O472" s="32"/>
    </row>
    <row r="473" spans="9:15" x14ac:dyDescent="0.25">
      <c r="I473" s="21">
        <v>1928</v>
      </c>
      <c r="J473" s="16">
        <f t="shared" si="43"/>
        <v>19</v>
      </c>
      <c r="K473" s="16">
        <f t="shared" si="44"/>
        <v>15</v>
      </c>
      <c r="L473" s="16">
        <f t="shared" si="45"/>
        <v>2</v>
      </c>
      <c r="M473" s="16">
        <f t="shared" si="46"/>
        <v>39</v>
      </c>
      <c r="N473" s="17" t="str">
        <f t="shared" si="47"/>
        <v>08.04.1928</v>
      </c>
      <c r="O473" s="32"/>
    </row>
    <row r="474" spans="9:15" x14ac:dyDescent="0.25">
      <c r="I474" s="15">
        <v>1927</v>
      </c>
      <c r="J474" s="16">
        <f t="shared" si="43"/>
        <v>19</v>
      </c>
      <c r="K474" s="16">
        <f t="shared" si="44"/>
        <v>26</v>
      </c>
      <c r="L474" s="16">
        <f t="shared" si="45"/>
        <v>0</v>
      </c>
      <c r="M474" s="16">
        <f t="shared" si="46"/>
        <v>48</v>
      </c>
      <c r="N474" s="17" t="str">
        <f t="shared" si="47"/>
        <v>17.04.1927</v>
      </c>
      <c r="O474" s="32"/>
    </row>
    <row r="475" spans="9:15" x14ac:dyDescent="0.25">
      <c r="I475" s="21">
        <v>1926</v>
      </c>
      <c r="J475" s="16">
        <f t="shared" si="43"/>
        <v>19</v>
      </c>
      <c r="K475" s="16">
        <f t="shared" si="44"/>
        <v>7</v>
      </c>
      <c r="L475" s="16">
        <f t="shared" si="45"/>
        <v>6</v>
      </c>
      <c r="M475" s="16">
        <f t="shared" si="46"/>
        <v>35</v>
      </c>
      <c r="N475" s="17" t="str">
        <f t="shared" si="47"/>
        <v>04.04.1926</v>
      </c>
      <c r="O475" s="32"/>
    </row>
    <row r="476" spans="9:15" x14ac:dyDescent="0.25">
      <c r="I476" s="15">
        <v>1925</v>
      </c>
      <c r="J476" s="16">
        <f t="shared" si="43"/>
        <v>19</v>
      </c>
      <c r="K476" s="16">
        <f t="shared" si="44"/>
        <v>18</v>
      </c>
      <c r="L476" s="16">
        <f t="shared" si="45"/>
        <v>3</v>
      </c>
      <c r="M476" s="16">
        <f t="shared" si="46"/>
        <v>43</v>
      </c>
      <c r="N476" s="17" t="str">
        <f t="shared" si="47"/>
        <v>12.04.1925</v>
      </c>
      <c r="O476" s="32"/>
    </row>
    <row r="477" spans="9:15" x14ac:dyDescent="0.25">
      <c r="I477" s="21">
        <v>1924</v>
      </c>
      <c r="J477" s="16">
        <f t="shared" si="43"/>
        <v>19</v>
      </c>
      <c r="K477" s="16">
        <f t="shared" si="44"/>
        <v>29</v>
      </c>
      <c r="L477" s="16">
        <f t="shared" si="45"/>
        <v>0</v>
      </c>
      <c r="M477" s="16">
        <f t="shared" si="46"/>
        <v>51</v>
      </c>
      <c r="N477" s="17" t="str">
        <f t="shared" si="47"/>
        <v>20.04.1924</v>
      </c>
      <c r="O477" s="32"/>
    </row>
    <row r="478" spans="9:15" x14ac:dyDescent="0.25">
      <c r="I478" s="15">
        <v>1923</v>
      </c>
      <c r="J478" s="16">
        <f t="shared" si="43"/>
        <v>19</v>
      </c>
      <c r="K478" s="16">
        <f t="shared" si="44"/>
        <v>10</v>
      </c>
      <c r="L478" s="16">
        <f t="shared" si="45"/>
        <v>0</v>
      </c>
      <c r="M478" s="16">
        <f t="shared" si="46"/>
        <v>32</v>
      </c>
      <c r="N478" s="17" t="str">
        <f t="shared" si="47"/>
        <v>01.04.1923</v>
      </c>
      <c r="O478" s="32"/>
    </row>
    <row r="479" spans="9:15" x14ac:dyDescent="0.25">
      <c r="I479" s="21">
        <v>1922</v>
      </c>
      <c r="J479" s="16">
        <f t="shared" si="43"/>
        <v>19</v>
      </c>
      <c r="K479" s="16">
        <f t="shared" si="44"/>
        <v>21</v>
      </c>
      <c r="L479" s="16">
        <f t="shared" si="45"/>
        <v>4</v>
      </c>
      <c r="M479" s="16">
        <f t="shared" si="46"/>
        <v>47</v>
      </c>
      <c r="N479" s="17" t="str">
        <f t="shared" si="47"/>
        <v>16.04.1922</v>
      </c>
      <c r="O479" s="32"/>
    </row>
    <row r="480" spans="9:15" x14ac:dyDescent="0.25">
      <c r="I480" s="15">
        <v>1921</v>
      </c>
      <c r="J480" s="16">
        <f t="shared" si="43"/>
        <v>19</v>
      </c>
      <c r="K480" s="16">
        <f t="shared" si="44"/>
        <v>2</v>
      </c>
      <c r="L480" s="16">
        <f t="shared" si="45"/>
        <v>3</v>
      </c>
      <c r="M480" s="16">
        <f t="shared" si="46"/>
        <v>27</v>
      </c>
      <c r="N480" s="17" t="str">
        <f t="shared" si="47"/>
        <v>27.03.1921</v>
      </c>
      <c r="O480" s="32"/>
    </row>
    <row r="481" spans="9:15" x14ac:dyDescent="0.25">
      <c r="I481" s="21">
        <v>1920</v>
      </c>
      <c r="J481" s="16">
        <f t="shared" si="43"/>
        <v>19</v>
      </c>
      <c r="K481" s="16">
        <f t="shared" si="44"/>
        <v>13</v>
      </c>
      <c r="L481" s="16">
        <f t="shared" si="45"/>
        <v>0</v>
      </c>
      <c r="M481" s="16">
        <f t="shared" si="46"/>
        <v>35</v>
      </c>
      <c r="N481" s="17" t="str">
        <f t="shared" si="47"/>
        <v>04.04.1920</v>
      </c>
      <c r="O481" s="32"/>
    </row>
    <row r="482" spans="9:15" x14ac:dyDescent="0.25">
      <c r="I482" s="15">
        <v>1919</v>
      </c>
      <c r="J482" s="16">
        <f t="shared" si="43"/>
        <v>19</v>
      </c>
      <c r="K482" s="16">
        <f t="shared" si="44"/>
        <v>24</v>
      </c>
      <c r="L482" s="16">
        <f t="shared" si="45"/>
        <v>5</v>
      </c>
      <c r="M482" s="16">
        <f t="shared" si="46"/>
        <v>51</v>
      </c>
      <c r="N482" s="17" t="str">
        <f t="shared" si="47"/>
        <v>20.04.1919</v>
      </c>
      <c r="O482" s="32"/>
    </row>
    <row r="483" spans="9:15" x14ac:dyDescent="0.25">
      <c r="I483" s="21">
        <v>1918</v>
      </c>
      <c r="J483" s="16">
        <f t="shared" si="43"/>
        <v>19</v>
      </c>
      <c r="K483" s="16">
        <f t="shared" si="44"/>
        <v>6</v>
      </c>
      <c r="L483" s="16">
        <f t="shared" si="45"/>
        <v>3</v>
      </c>
      <c r="M483" s="16">
        <f t="shared" si="46"/>
        <v>31</v>
      </c>
      <c r="N483" s="17" t="str">
        <f t="shared" si="47"/>
        <v>31.03.1918</v>
      </c>
      <c r="O483" s="32"/>
    </row>
    <row r="484" spans="9:15" x14ac:dyDescent="0.25">
      <c r="I484" s="15">
        <v>1917</v>
      </c>
      <c r="J484" s="16">
        <f t="shared" si="43"/>
        <v>19</v>
      </c>
      <c r="K484" s="16">
        <f t="shared" si="44"/>
        <v>17</v>
      </c>
      <c r="L484" s="16">
        <f t="shared" si="45"/>
        <v>0</v>
      </c>
      <c r="M484" s="16">
        <f t="shared" si="46"/>
        <v>39</v>
      </c>
      <c r="N484" s="17" t="str">
        <f t="shared" si="47"/>
        <v>08.04.1917</v>
      </c>
      <c r="O484" s="32"/>
    </row>
    <row r="485" spans="9:15" x14ac:dyDescent="0.25">
      <c r="I485" s="21">
        <v>1916</v>
      </c>
      <c r="J485" s="16">
        <f t="shared" si="43"/>
        <v>19</v>
      </c>
      <c r="K485" s="16">
        <f t="shared" si="44"/>
        <v>28</v>
      </c>
      <c r="L485" s="16">
        <f t="shared" si="45"/>
        <v>4</v>
      </c>
      <c r="M485" s="16">
        <f t="shared" si="46"/>
        <v>54</v>
      </c>
      <c r="N485" s="17" t="str">
        <f t="shared" si="47"/>
        <v>23.04.1916</v>
      </c>
      <c r="O485" s="32"/>
    </row>
    <row r="486" spans="9:15" x14ac:dyDescent="0.25">
      <c r="I486" s="15">
        <v>1915</v>
      </c>
      <c r="J486" s="16">
        <f t="shared" ref="J486:J549" si="48">INT(I486/100)</f>
        <v>19</v>
      </c>
      <c r="K486" s="16">
        <f t="shared" ref="K486:K549" si="49">MOD(19*MOD(I486,19)+J486-INT(J486/4)-INT((J486-INT((J486+8)/25)+1)/3)+15,30)</f>
        <v>9</v>
      </c>
      <c r="L486" s="16">
        <f t="shared" ref="L486:L549" si="50">MOD(32+2*MOD(J486,4)+2*INT(MOD(I486,100)/4)-K486-MOD(MOD(I486,100),4),7)</f>
        <v>4</v>
      </c>
      <c r="M486" s="16">
        <f t="shared" ref="M486:M549" si="51">K486+L486-7*INT((MOD(I486,19)+11*K486+22*L486)/451)+22</f>
        <v>35</v>
      </c>
      <c r="N486" s="17" t="str">
        <f t="shared" ref="N486:N549" si="52">TEXT(IF(M486-31 &lt; 1,M486,M486-31),"0#")&amp;"."&amp;IF(M486 &gt; 31,"04.","03.")&amp;I486</f>
        <v>04.04.1915</v>
      </c>
      <c r="O486" s="32"/>
    </row>
    <row r="487" spans="9:15" x14ac:dyDescent="0.25">
      <c r="I487" s="21">
        <v>1914</v>
      </c>
      <c r="J487" s="16">
        <f t="shared" si="48"/>
        <v>19</v>
      </c>
      <c r="K487" s="16">
        <f t="shared" si="49"/>
        <v>20</v>
      </c>
      <c r="L487" s="16">
        <f t="shared" si="50"/>
        <v>1</v>
      </c>
      <c r="M487" s="16">
        <f t="shared" si="51"/>
        <v>43</v>
      </c>
      <c r="N487" s="17" t="str">
        <f t="shared" si="52"/>
        <v>12.04.1914</v>
      </c>
      <c r="O487" s="32"/>
    </row>
    <row r="488" spans="9:15" x14ac:dyDescent="0.25">
      <c r="I488" s="15">
        <v>1913</v>
      </c>
      <c r="J488" s="16">
        <f t="shared" si="48"/>
        <v>19</v>
      </c>
      <c r="K488" s="16">
        <f t="shared" si="49"/>
        <v>1</v>
      </c>
      <c r="L488" s="16">
        <f t="shared" si="50"/>
        <v>0</v>
      </c>
      <c r="M488" s="16">
        <f t="shared" si="51"/>
        <v>23</v>
      </c>
      <c r="N488" s="17" t="str">
        <f t="shared" si="52"/>
        <v>23.03.1913</v>
      </c>
      <c r="O488" s="32"/>
    </row>
    <row r="489" spans="9:15" x14ac:dyDescent="0.25">
      <c r="I489" s="21">
        <v>1912</v>
      </c>
      <c r="J489" s="16">
        <f t="shared" si="48"/>
        <v>19</v>
      </c>
      <c r="K489" s="16">
        <f t="shared" si="49"/>
        <v>12</v>
      </c>
      <c r="L489" s="16">
        <f t="shared" si="50"/>
        <v>4</v>
      </c>
      <c r="M489" s="16">
        <f t="shared" si="51"/>
        <v>38</v>
      </c>
      <c r="N489" s="17" t="str">
        <f t="shared" si="52"/>
        <v>07.04.1912</v>
      </c>
      <c r="O489" s="32"/>
    </row>
    <row r="490" spans="9:15" x14ac:dyDescent="0.25">
      <c r="I490" s="15">
        <v>1911</v>
      </c>
      <c r="J490" s="16">
        <f t="shared" si="48"/>
        <v>19</v>
      </c>
      <c r="K490" s="16">
        <f t="shared" si="49"/>
        <v>23</v>
      </c>
      <c r="L490" s="16">
        <f t="shared" si="50"/>
        <v>2</v>
      </c>
      <c r="M490" s="16">
        <f t="shared" si="51"/>
        <v>47</v>
      </c>
      <c r="N490" s="17" t="str">
        <f t="shared" si="52"/>
        <v>16.04.1911</v>
      </c>
      <c r="O490" s="32"/>
    </row>
    <row r="491" spans="9:15" x14ac:dyDescent="0.25">
      <c r="I491" s="21">
        <v>1910</v>
      </c>
      <c r="J491" s="16">
        <f t="shared" si="48"/>
        <v>19</v>
      </c>
      <c r="K491" s="16">
        <f t="shared" si="49"/>
        <v>4</v>
      </c>
      <c r="L491" s="16">
        <f t="shared" si="50"/>
        <v>1</v>
      </c>
      <c r="M491" s="16">
        <f t="shared" si="51"/>
        <v>27</v>
      </c>
      <c r="N491" s="17" t="str">
        <f t="shared" si="52"/>
        <v>27.03.1910</v>
      </c>
      <c r="O491" s="32"/>
    </row>
    <row r="492" spans="9:15" x14ac:dyDescent="0.25">
      <c r="I492" s="15">
        <v>1909</v>
      </c>
      <c r="J492" s="16">
        <f t="shared" si="48"/>
        <v>19</v>
      </c>
      <c r="K492" s="16">
        <f t="shared" si="49"/>
        <v>15</v>
      </c>
      <c r="L492" s="16">
        <f t="shared" si="50"/>
        <v>5</v>
      </c>
      <c r="M492" s="16">
        <f t="shared" si="51"/>
        <v>42</v>
      </c>
      <c r="N492" s="17" t="str">
        <f t="shared" si="52"/>
        <v>11.04.1909</v>
      </c>
      <c r="O492" s="32"/>
    </row>
    <row r="493" spans="9:15" x14ac:dyDescent="0.25">
      <c r="I493" s="21">
        <v>1908</v>
      </c>
      <c r="J493" s="16">
        <f t="shared" si="48"/>
        <v>19</v>
      </c>
      <c r="K493" s="16">
        <f t="shared" si="49"/>
        <v>26</v>
      </c>
      <c r="L493" s="16">
        <f t="shared" si="50"/>
        <v>2</v>
      </c>
      <c r="M493" s="16">
        <f t="shared" si="51"/>
        <v>50</v>
      </c>
      <c r="N493" s="17" t="str">
        <f t="shared" si="52"/>
        <v>19.04.1908</v>
      </c>
      <c r="O493" s="32"/>
    </row>
    <row r="494" spans="9:15" x14ac:dyDescent="0.25">
      <c r="I494" s="15">
        <v>1907</v>
      </c>
      <c r="J494" s="16">
        <f t="shared" si="48"/>
        <v>19</v>
      </c>
      <c r="K494" s="16">
        <f t="shared" si="49"/>
        <v>7</v>
      </c>
      <c r="L494" s="16">
        <f t="shared" si="50"/>
        <v>2</v>
      </c>
      <c r="M494" s="16">
        <f t="shared" si="51"/>
        <v>31</v>
      </c>
      <c r="N494" s="17" t="str">
        <f t="shared" si="52"/>
        <v>31.03.1907</v>
      </c>
      <c r="O494" s="32"/>
    </row>
    <row r="495" spans="9:15" x14ac:dyDescent="0.25">
      <c r="I495" s="21">
        <v>1906</v>
      </c>
      <c r="J495" s="16">
        <f t="shared" si="48"/>
        <v>19</v>
      </c>
      <c r="K495" s="16">
        <f t="shared" si="49"/>
        <v>18</v>
      </c>
      <c r="L495" s="16">
        <f t="shared" si="50"/>
        <v>6</v>
      </c>
      <c r="M495" s="16">
        <f t="shared" si="51"/>
        <v>46</v>
      </c>
      <c r="N495" s="17" t="str">
        <f t="shared" si="52"/>
        <v>15.04.1906</v>
      </c>
      <c r="O495" s="32"/>
    </row>
    <row r="496" spans="9:15" x14ac:dyDescent="0.25">
      <c r="I496" s="15">
        <v>1905</v>
      </c>
      <c r="J496" s="16">
        <f t="shared" si="48"/>
        <v>19</v>
      </c>
      <c r="K496" s="16">
        <f t="shared" si="49"/>
        <v>29</v>
      </c>
      <c r="L496" s="16">
        <f t="shared" si="50"/>
        <v>3</v>
      </c>
      <c r="M496" s="16">
        <f t="shared" si="51"/>
        <v>54</v>
      </c>
      <c r="N496" s="17" t="str">
        <f t="shared" si="52"/>
        <v>23.04.1905</v>
      </c>
      <c r="O496" s="32"/>
    </row>
    <row r="497" spans="9:15" x14ac:dyDescent="0.25">
      <c r="I497" s="21">
        <v>1904</v>
      </c>
      <c r="J497" s="16">
        <f t="shared" si="48"/>
        <v>19</v>
      </c>
      <c r="K497" s="16">
        <f t="shared" si="49"/>
        <v>10</v>
      </c>
      <c r="L497" s="16">
        <f t="shared" si="50"/>
        <v>2</v>
      </c>
      <c r="M497" s="16">
        <f t="shared" si="51"/>
        <v>34</v>
      </c>
      <c r="N497" s="17" t="str">
        <f t="shared" si="52"/>
        <v>03.04.1904</v>
      </c>
      <c r="O497" s="32"/>
    </row>
    <row r="498" spans="9:15" x14ac:dyDescent="0.25">
      <c r="I498" s="15">
        <v>1903</v>
      </c>
      <c r="J498" s="16">
        <f t="shared" si="48"/>
        <v>19</v>
      </c>
      <c r="K498" s="16">
        <f t="shared" si="49"/>
        <v>21</v>
      </c>
      <c r="L498" s="16">
        <f t="shared" si="50"/>
        <v>0</v>
      </c>
      <c r="M498" s="16">
        <f t="shared" si="51"/>
        <v>43</v>
      </c>
      <c r="N498" s="17" t="str">
        <f t="shared" si="52"/>
        <v>12.04.1903</v>
      </c>
      <c r="O498" s="32"/>
    </row>
    <row r="499" spans="9:15" x14ac:dyDescent="0.25">
      <c r="I499" s="21">
        <v>1902</v>
      </c>
      <c r="J499" s="16">
        <f t="shared" si="48"/>
        <v>19</v>
      </c>
      <c r="K499" s="16">
        <f t="shared" si="49"/>
        <v>2</v>
      </c>
      <c r="L499" s="16">
        <f t="shared" si="50"/>
        <v>6</v>
      </c>
      <c r="M499" s="16">
        <f t="shared" si="51"/>
        <v>30</v>
      </c>
      <c r="N499" s="17" t="str">
        <f t="shared" si="52"/>
        <v>30.03.1902</v>
      </c>
      <c r="O499" s="32"/>
    </row>
    <row r="500" spans="9:15" x14ac:dyDescent="0.25">
      <c r="I500" s="15">
        <v>1901</v>
      </c>
      <c r="J500" s="16">
        <f t="shared" si="48"/>
        <v>19</v>
      </c>
      <c r="K500" s="16">
        <f t="shared" si="49"/>
        <v>13</v>
      </c>
      <c r="L500" s="16">
        <f t="shared" si="50"/>
        <v>3</v>
      </c>
      <c r="M500" s="16">
        <f t="shared" si="51"/>
        <v>38</v>
      </c>
      <c r="N500" s="17" t="str">
        <f t="shared" si="52"/>
        <v>07.04.1901</v>
      </c>
      <c r="O500" s="32"/>
    </row>
    <row r="501" spans="9:15" x14ac:dyDescent="0.25">
      <c r="I501" s="21">
        <v>1900</v>
      </c>
      <c r="J501" s="16">
        <f t="shared" si="48"/>
        <v>19</v>
      </c>
      <c r="K501" s="16">
        <f t="shared" si="49"/>
        <v>24</v>
      </c>
      <c r="L501" s="16">
        <f t="shared" si="50"/>
        <v>0</v>
      </c>
      <c r="M501" s="16">
        <f t="shared" si="51"/>
        <v>46</v>
      </c>
      <c r="N501" s="17" t="str">
        <f t="shared" si="52"/>
        <v>15.04.1900</v>
      </c>
      <c r="O501" s="32"/>
    </row>
    <row r="502" spans="9:15" x14ac:dyDescent="0.25">
      <c r="I502" s="15">
        <v>1899</v>
      </c>
      <c r="J502" s="16">
        <f t="shared" si="48"/>
        <v>18</v>
      </c>
      <c r="K502" s="16">
        <f t="shared" si="49"/>
        <v>5</v>
      </c>
      <c r="L502" s="16">
        <f t="shared" si="50"/>
        <v>6</v>
      </c>
      <c r="M502" s="16">
        <f t="shared" si="51"/>
        <v>33</v>
      </c>
      <c r="N502" s="17" t="str">
        <f t="shared" si="52"/>
        <v>02.04.1899</v>
      </c>
      <c r="O502" s="32"/>
    </row>
    <row r="503" spans="9:15" x14ac:dyDescent="0.25">
      <c r="I503" s="21">
        <v>1898</v>
      </c>
      <c r="J503" s="16">
        <f t="shared" si="48"/>
        <v>18</v>
      </c>
      <c r="K503" s="16">
        <f t="shared" si="49"/>
        <v>16</v>
      </c>
      <c r="L503" s="16">
        <f t="shared" si="50"/>
        <v>3</v>
      </c>
      <c r="M503" s="16">
        <f t="shared" si="51"/>
        <v>41</v>
      </c>
      <c r="N503" s="17" t="str">
        <f t="shared" si="52"/>
        <v>10.04.1898</v>
      </c>
      <c r="O503" s="32"/>
    </row>
    <row r="504" spans="9:15" x14ac:dyDescent="0.25">
      <c r="I504" s="15">
        <v>1897</v>
      </c>
      <c r="J504" s="16">
        <f t="shared" si="48"/>
        <v>18</v>
      </c>
      <c r="K504" s="16">
        <f t="shared" si="49"/>
        <v>27</v>
      </c>
      <c r="L504" s="16">
        <f t="shared" si="50"/>
        <v>0</v>
      </c>
      <c r="M504" s="16">
        <f t="shared" si="51"/>
        <v>49</v>
      </c>
      <c r="N504" s="17" t="str">
        <f t="shared" si="52"/>
        <v>18.04.1897</v>
      </c>
      <c r="O504" s="32"/>
    </row>
    <row r="505" spans="9:15" x14ac:dyDescent="0.25">
      <c r="I505" s="21">
        <v>1896</v>
      </c>
      <c r="J505" s="16">
        <f t="shared" si="48"/>
        <v>18</v>
      </c>
      <c r="K505" s="16">
        <f t="shared" si="49"/>
        <v>8</v>
      </c>
      <c r="L505" s="16">
        <f t="shared" si="50"/>
        <v>6</v>
      </c>
      <c r="M505" s="16">
        <f t="shared" si="51"/>
        <v>36</v>
      </c>
      <c r="N505" s="17" t="str">
        <f t="shared" si="52"/>
        <v>05.04.1896</v>
      </c>
      <c r="O505" s="32"/>
    </row>
    <row r="506" spans="9:15" x14ac:dyDescent="0.25">
      <c r="I506" s="15">
        <v>1895</v>
      </c>
      <c r="J506" s="16">
        <f t="shared" si="48"/>
        <v>18</v>
      </c>
      <c r="K506" s="16">
        <f t="shared" si="49"/>
        <v>19</v>
      </c>
      <c r="L506" s="16">
        <f t="shared" si="50"/>
        <v>4</v>
      </c>
      <c r="M506" s="16">
        <f t="shared" si="51"/>
        <v>45</v>
      </c>
      <c r="N506" s="17" t="str">
        <f t="shared" si="52"/>
        <v>14.04.1895</v>
      </c>
      <c r="O506" s="32"/>
    </row>
    <row r="507" spans="9:15" x14ac:dyDescent="0.25">
      <c r="I507" s="21">
        <v>1894</v>
      </c>
      <c r="J507" s="16">
        <f t="shared" si="48"/>
        <v>18</v>
      </c>
      <c r="K507" s="16">
        <f t="shared" si="49"/>
        <v>0</v>
      </c>
      <c r="L507" s="16">
        <f t="shared" si="50"/>
        <v>3</v>
      </c>
      <c r="M507" s="16">
        <f t="shared" si="51"/>
        <v>25</v>
      </c>
      <c r="N507" s="17" t="str">
        <f t="shared" si="52"/>
        <v>25.03.1894</v>
      </c>
      <c r="O507" s="32"/>
    </row>
    <row r="508" spans="9:15" x14ac:dyDescent="0.25">
      <c r="I508" s="15">
        <v>1893</v>
      </c>
      <c r="J508" s="16">
        <f t="shared" si="48"/>
        <v>18</v>
      </c>
      <c r="K508" s="16">
        <f t="shared" si="49"/>
        <v>11</v>
      </c>
      <c r="L508" s="16">
        <f t="shared" si="50"/>
        <v>0</v>
      </c>
      <c r="M508" s="16">
        <f t="shared" si="51"/>
        <v>33</v>
      </c>
      <c r="N508" s="17" t="str">
        <f t="shared" si="52"/>
        <v>02.04.1893</v>
      </c>
      <c r="O508" s="32"/>
    </row>
    <row r="509" spans="9:15" x14ac:dyDescent="0.25">
      <c r="I509" s="21">
        <v>1892</v>
      </c>
      <c r="J509" s="16">
        <f t="shared" si="48"/>
        <v>18</v>
      </c>
      <c r="K509" s="16">
        <f t="shared" si="49"/>
        <v>22</v>
      </c>
      <c r="L509" s="16">
        <f t="shared" si="50"/>
        <v>4</v>
      </c>
      <c r="M509" s="16">
        <f t="shared" si="51"/>
        <v>48</v>
      </c>
      <c r="N509" s="17" t="str">
        <f t="shared" si="52"/>
        <v>17.04.1892</v>
      </c>
      <c r="O509" s="32"/>
    </row>
    <row r="510" spans="9:15" x14ac:dyDescent="0.25">
      <c r="I510" s="15">
        <v>1891</v>
      </c>
      <c r="J510" s="16">
        <f t="shared" si="48"/>
        <v>18</v>
      </c>
      <c r="K510" s="16">
        <f t="shared" si="49"/>
        <v>3</v>
      </c>
      <c r="L510" s="16">
        <f t="shared" si="50"/>
        <v>4</v>
      </c>
      <c r="M510" s="16">
        <f t="shared" si="51"/>
        <v>29</v>
      </c>
      <c r="N510" s="17" t="str">
        <f t="shared" si="52"/>
        <v>29.03.1891</v>
      </c>
      <c r="O510" s="32"/>
    </row>
    <row r="511" spans="9:15" x14ac:dyDescent="0.25">
      <c r="I511" s="21">
        <v>1890</v>
      </c>
      <c r="J511" s="16">
        <f t="shared" si="48"/>
        <v>18</v>
      </c>
      <c r="K511" s="16">
        <f t="shared" si="49"/>
        <v>14</v>
      </c>
      <c r="L511" s="16">
        <f t="shared" si="50"/>
        <v>1</v>
      </c>
      <c r="M511" s="16">
        <f t="shared" si="51"/>
        <v>37</v>
      </c>
      <c r="N511" s="17" t="str">
        <f t="shared" si="52"/>
        <v>06.04.1890</v>
      </c>
      <c r="O511" s="32"/>
    </row>
    <row r="512" spans="9:15" x14ac:dyDescent="0.25">
      <c r="I512" s="15">
        <v>1889</v>
      </c>
      <c r="J512" s="16">
        <f t="shared" si="48"/>
        <v>18</v>
      </c>
      <c r="K512" s="16">
        <f t="shared" si="49"/>
        <v>25</v>
      </c>
      <c r="L512" s="16">
        <f t="shared" si="50"/>
        <v>5</v>
      </c>
      <c r="M512" s="16">
        <f t="shared" si="51"/>
        <v>52</v>
      </c>
      <c r="N512" s="17" t="str">
        <f t="shared" si="52"/>
        <v>21.04.1889</v>
      </c>
      <c r="O512" s="32"/>
    </row>
    <row r="513" spans="9:15" x14ac:dyDescent="0.25">
      <c r="I513" s="21">
        <v>1888</v>
      </c>
      <c r="J513" s="16">
        <f t="shared" si="48"/>
        <v>18</v>
      </c>
      <c r="K513" s="16">
        <f t="shared" si="49"/>
        <v>6</v>
      </c>
      <c r="L513" s="16">
        <f t="shared" si="50"/>
        <v>4</v>
      </c>
      <c r="M513" s="16">
        <f t="shared" si="51"/>
        <v>32</v>
      </c>
      <c r="N513" s="17" t="str">
        <f t="shared" si="52"/>
        <v>01.04.1888</v>
      </c>
      <c r="O513" s="32"/>
    </row>
    <row r="514" spans="9:15" x14ac:dyDescent="0.25">
      <c r="I514" s="15">
        <v>1887</v>
      </c>
      <c r="J514" s="16">
        <f t="shared" si="48"/>
        <v>18</v>
      </c>
      <c r="K514" s="16">
        <f t="shared" si="49"/>
        <v>17</v>
      </c>
      <c r="L514" s="16">
        <f t="shared" si="50"/>
        <v>2</v>
      </c>
      <c r="M514" s="16">
        <f t="shared" si="51"/>
        <v>41</v>
      </c>
      <c r="N514" s="17" t="str">
        <f t="shared" si="52"/>
        <v>10.04.1887</v>
      </c>
      <c r="O514" s="32"/>
    </row>
    <row r="515" spans="9:15" x14ac:dyDescent="0.25">
      <c r="I515" s="21">
        <v>1886</v>
      </c>
      <c r="J515" s="16">
        <f t="shared" si="48"/>
        <v>18</v>
      </c>
      <c r="K515" s="16">
        <f t="shared" si="49"/>
        <v>28</v>
      </c>
      <c r="L515" s="16">
        <f t="shared" si="50"/>
        <v>6</v>
      </c>
      <c r="M515" s="16">
        <f t="shared" si="51"/>
        <v>56</v>
      </c>
      <c r="N515" s="17" t="str">
        <f t="shared" si="52"/>
        <v>25.04.1886</v>
      </c>
      <c r="O515" s="32"/>
    </row>
    <row r="516" spans="9:15" x14ac:dyDescent="0.25">
      <c r="I516" s="15">
        <v>1885</v>
      </c>
      <c r="J516" s="16">
        <f t="shared" si="48"/>
        <v>18</v>
      </c>
      <c r="K516" s="16">
        <f t="shared" si="49"/>
        <v>9</v>
      </c>
      <c r="L516" s="16">
        <f t="shared" si="50"/>
        <v>5</v>
      </c>
      <c r="M516" s="16">
        <f t="shared" si="51"/>
        <v>36</v>
      </c>
      <c r="N516" s="17" t="str">
        <f t="shared" si="52"/>
        <v>05.04.1885</v>
      </c>
      <c r="O516" s="32"/>
    </row>
    <row r="517" spans="9:15" x14ac:dyDescent="0.25">
      <c r="I517" s="21">
        <v>1884</v>
      </c>
      <c r="J517" s="16">
        <f t="shared" si="48"/>
        <v>18</v>
      </c>
      <c r="K517" s="16">
        <f t="shared" si="49"/>
        <v>20</v>
      </c>
      <c r="L517" s="16">
        <f t="shared" si="50"/>
        <v>2</v>
      </c>
      <c r="M517" s="16">
        <f t="shared" si="51"/>
        <v>44</v>
      </c>
      <c r="N517" s="17" t="str">
        <f t="shared" si="52"/>
        <v>13.04.1884</v>
      </c>
      <c r="O517" s="32"/>
    </row>
    <row r="518" spans="9:15" x14ac:dyDescent="0.25">
      <c r="I518" s="15">
        <v>1883</v>
      </c>
      <c r="J518" s="16">
        <f t="shared" si="48"/>
        <v>18</v>
      </c>
      <c r="K518" s="16">
        <f t="shared" si="49"/>
        <v>1</v>
      </c>
      <c r="L518" s="16">
        <f t="shared" si="50"/>
        <v>2</v>
      </c>
      <c r="M518" s="16">
        <f t="shared" si="51"/>
        <v>25</v>
      </c>
      <c r="N518" s="17" t="str">
        <f t="shared" si="52"/>
        <v>25.03.1883</v>
      </c>
      <c r="O518" s="32"/>
    </row>
    <row r="519" spans="9:15" x14ac:dyDescent="0.25">
      <c r="I519" s="21">
        <v>1882</v>
      </c>
      <c r="J519" s="16">
        <f t="shared" si="48"/>
        <v>18</v>
      </c>
      <c r="K519" s="16">
        <f t="shared" si="49"/>
        <v>12</v>
      </c>
      <c r="L519" s="16">
        <f t="shared" si="50"/>
        <v>6</v>
      </c>
      <c r="M519" s="16">
        <f t="shared" si="51"/>
        <v>40</v>
      </c>
      <c r="N519" s="17" t="str">
        <f t="shared" si="52"/>
        <v>09.04.1882</v>
      </c>
      <c r="O519" s="32"/>
    </row>
    <row r="520" spans="9:15" x14ac:dyDescent="0.25">
      <c r="I520" s="15">
        <v>1881</v>
      </c>
      <c r="J520" s="16">
        <f t="shared" si="48"/>
        <v>18</v>
      </c>
      <c r="K520" s="16">
        <f t="shared" si="49"/>
        <v>23</v>
      </c>
      <c r="L520" s="16">
        <f t="shared" si="50"/>
        <v>3</v>
      </c>
      <c r="M520" s="16">
        <f t="shared" si="51"/>
        <v>48</v>
      </c>
      <c r="N520" s="17" t="str">
        <f t="shared" si="52"/>
        <v>17.04.1881</v>
      </c>
      <c r="O520" s="32"/>
    </row>
    <row r="521" spans="9:15" x14ac:dyDescent="0.25">
      <c r="I521" s="21">
        <v>1880</v>
      </c>
      <c r="J521" s="16">
        <f t="shared" si="48"/>
        <v>18</v>
      </c>
      <c r="K521" s="16">
        <f t="shared" si="49"/>
        <v>5</v>
      </c>
      <c r="L521" s="16">
        <f t="shared" si="50"/>
        <v>1</v>
      </c>
      <c r="M521" s="16">
        <f t="shared" si="51"/>
        <v>28</v>
      </c>
      <c r="N521" s="17" t="str">
        <f t="shared" si="52"/>
        <v>28.03.1880</v>
      </c>
      <c r="O521" s="32"/>
    </row>
    <row r="522" spans="9:15" x14ac:dyDescent="0.25">
      <c r="I522" s="15">
        <v>1879</v>
      </c>
      <c r="J522" s="16">
        <f t="shared" si="48"/>
        <v>18</v>
      </c>
      <c r="K522" s="16">
        <f t="shared" si="49"/>
        <v>16</v>
      </c>
      <c r="L522" s="16">
        <f t="shared" si="50"/>
        <v>6</v>
      </c>
      <c r="M522" s="16">
        <f t="shared" si="51"/>
        <v>44</v>
      </c>
      <c r="N522" s="17" t="str">
        <f t="shared" si="52"/>
        <v>13.04.1879</v>
      </c>
      <c r="O522" s="32"/>
    </row>
    <row r="523" spans="9:15" x14ac:dyDescent="0.25">
      <c r="I523" s="21">
        <v>1878</v>
      </c>
      <c r="J523" s="16">
        <f t="shared" si="48"/>
        <v>18</v>
      </c>
      <c r="K523" s="16">
        <f t="shared" si="49"/>
        <v>27</v>
      </c>
      <c r="L523" s="16">
        <f t="shared" si="50"/>
        <v>3</v>
      </c>
      <c r="M523" s="16">
        <f t="shared" si="51"/>
        <v>52</v>
      </c>
      <c r="N523" s="17" t="str">
        <f t="shared" si="52"/>
        <v>21.04.1878</v>
      </c>
      <c r="O523" s="32"/>
    </row>
    <row r="524" spans="9:15" x14ac:dyDescent="0.25">
      <c r="I524" s="15">
        <v>1877</v>
      </c>
      <c r="J524" s="16">
        <f t="shared" si="48"/>
        <v>18</v>
      </c>
      <c r="K524" s="16">
        <f t="shared" si="49"/>
        <v>8</v>
      </c>
      <c r="L524" s="16">
        <f t="shared" si="50"/>
        <v>2</v>
      </c>
      <c r="M524" s="16">
        <f t="shared" si="51"/>
        <v>32</v>
      </c>
      <c r="N524" s="17" t="str">
        <f t="shared" si="52"/>
        <v>01.04.1877</v>
      </c>
      <c r="O524" s="32"/>
    </row>
    <row r="525" spans="9:15" x14ac:dyDescent="0.25">
      <c r="I525" s="21">
        <v>1876</v>
      </c>
      <c r="J525" s="16">
        <f t="shared" si="48"/>
        <v>18</v>
      </c>
      <c r="K525" s="16">
        <f t="shared" si="49"/>
        <v>19</v>
      </c>
      <c r="L525" s="16">
        <f t="shared" si="50"/>
        <v>6</v>
      </c>
      <c r="M525" s="16">
        <f t="shared" si="51"/>
        <v>47</v>
      </c>
      <c r="N525" s="17" t="str">
        <f t="shared" si="52"/>
        <v>16.04.1876</v>
      </c>
      <c r="O525" s="32"/>
    </row>
    <row r="526" spans="9:15" x14ac:dyDescent="0.25">
      <c r="I526" s="15">
        <v>1875</v>
      </c>
      <c r="J526" s="16">
        <f t="shared" si="48"/>
        <v>18</v>
      </c>
      <c r="K526" s="16">
        <f t="shared" si="49"/>
        <v>0</v>
      </c>
      <c r="L526" s="16">
        <f t="shared" si="50"/>
        <v>6</v>
      </c>
      <c r="M526" s="16">
        <f t="shared" si="51"/>
        <v>28</v>
      </c>
      <c r="N526" s="17" t="str">
        <f t="shared" si="52"/>
        <v>28.03.1875</v>
      </c>
      <c r="O526" s="32"/>
    </row>
    <row r="527" spans="9:15" x14ac:dyDescent="0.25">
      <c r="I527" s="21">
        <v>1874</v>
      </c>
      <c r="J527" s="16">
        <f t="shared" si="48"/>
        <v>18</v>
      </c>
      <c r="K527" s="16">
        <f t="shared" si="49"/>
        <v>11</v>
      </c>
      <c r="L527" s="16">
        <f t="shared" si="50"/>
        <v>3</v>
      </c>
      <c r="M527" s="16">
        <f t="shared" si="51"/>
        <v>36</v>
      </c>
      <c r="N527" s="17" t="str">
        <f t="shared" si="52"/>
        <v>05.04.1874</v>
      </c>
      <c r="O527" s="32"/>
    </row>
    <row r="528" spans="9:15" x14ac:dyDescent="0.25">
      <c r="I528" s="15">
        <v>1873</v>
      </c>
      <c r="J528" s="16">
        <f t="shared" si="48"/>
        <v>18</v>
      </c>
      <c r="K528" s="16">
        <f t="shared" si="49"/>
        <v>22</v>
      </c>
      <c r="L528" s="16">
        <f t="shared" si="50"/>
        <v>0</v>
      </c>
      <c r="M528" s="16">
        <f t="shared" si="51"/>
        <v>44</v>
      </c>
      <c r="N528" s="17" t="str">
        <f t="shared" si="52"/>
        <v>13.04.1873</v>
      </c>
      <c r="O528" s="32"/>
    </row>
    <row r="529" spans="9:15" x14ac:dyDescent="0.25">
      <c r="I529" s="21">
        <v>1872</v>
      </c>
      <c r="J529" s="16">
        <f t="shared" si="48"/>
        <v>18</v>
      </c>
      <c r="K529" s="16">
        <f t="shared" si="49"/>
        <v>3</v>
      </c>
      <c r="L529" s="16">
        <f t="shared" si="50"/>
        <v>6</v>
      </c>
      <c r="M529" s="16">
        <f t="shared" si="51"/>
        <v>31</v>
      </c>
      <c r="N529" s="17" t="str">
        <f t="shared" si="52"/>
        <v>31.03.1872</v>
      </c>
      <c r="O529" s="32"/>
    </row>
    <row r="530" spans="9:15" x14ac:dyDescent="0.25">
      <c r="I530" s="15">
        <v>1871</v>
      </c>
      <c r="J530" s="16">
        <f t="shared" si="48"/>
        <v>18</v>
      </c>
      <c r="K530" s="16">
        <f t="shared" si="49"/>
        <v>14</v>
      </c>
      <c r="L530" s="16">
        <f t="shared" si="50"/>
        <v>4</v>
      </c>
      <c r="M530" s="16">
        <f t="shared" si="51"/>
        <v>40</v>
      </c>
      <c r="N530" s="17" t="str">
        <f t="shared" si="52"/>
        <v>09.04.1871</v>
      </c>
      <c r="O530" s="32"/>
    </row>
    <row r="531" spans="9:15" x14ac:dyDescent="0.25">
      <c r="I531" s="21">
        <v>1870</v>
      </c>
      <c r="J531" s="16">
        <f t="shared" si="48"/>
        <v>18</v>
      </c>
      <c r="K531" s="16">
        <f t="shared" si="49"/>
        <v>25</v>
      </c>
      <c r="L531" s="16">
        <f t="shared" si="50"/>
        <v>1</v>
      </c>
      <c r="M531" s="16">
        <f t="shared" si="51"/>
        <v>48</v>
      </c>
      <c r="N531" s="17" t="str">
        <f t="shared" si="52"/>
        <v>17.04.1870</v>
      </c>
      <c r="O531" s="32"/>
    </row>
    <row r="532" spans="9:15" x14ac:dyDescent="0.25">
      <c r="I532" s="15">
        <v>1869</v>
      </c>
      <c r="J532" s="16">
        <f t="shared" si="48"/>
        <v>18</v>
      </c>
      <c r="K532" s="16">
        <f t="shared" si="49"/>
        <v>6</v>
      </c>
      <c r="L532" s="16">
        <f t="shared" si="50"/>
        <v>0</v>
      </c>
      <c r="M532" s="16">
        <f t="shared" si="51"/>
        <v>28</v>
      </c>
      <c r="N532" s="17" t="str">
        <f t="shared" si="52"/>
        <v>28.03.1869</v>
      </c>
      <c r="O532" s="32"/>
    </row>
    <row r="533" spans="9:15" x14ac:dyDescent="0.25">
      <c r="I533" s="21">
        <v>1868</v>
      </c>
      <c r="J533" s="16">
        <f t="shared" si="48"/>
        <v>18</v>
      </c>
      <c r="K533" s="16">
        <f t="shared" si="49"/>
        <v>17</v>
      </c>
      <c r="L533" s="16">
        <f t="shared" si="50"/>
        <v>4</v>
      </c>
      <c r="M533" s="16">
        <f t="shared" si="51"/>
        <v>43</v>
      </c>
      <c r="N533" s="17" t="str">
        <f t="shared" si="52"/>
        <v>12.04.1868</v>
      </c>
      <c r="O533" s="32"/>
    </row>
    <row r="534" spans="9:15" x14ac:dyDescent="0.25">
      <c r="I534" s="15">
        <v>1867</v>
      </c>
      <c r="J534" s="16">
        <f t="shared" si="48"/>
        <v>18</v>
      </c>
      <c r="K534" s="16">
        <f t="shared" si="49"/>
        <v>28</v>
      </c>
      <c r="L534" s="16">
        <f t="shared" si="50"/>
        <v>2</v>
      </c>
      <c r="M534" s="16">
        <f t="shared" si="51"/>
        <v>52</v>
      </c>
      <c r="N534" s="17" t="str">
        <f t="shared" si="52"/>
        <v>21.04.1867</v>
      </c>
      <c r="O534" s="32"/>
    </row>
    <row r="535" spans="9:15" x14ac:dyDescent="0.25">
      <c r="I535" s="21">
        <v>1866</v>
      </c>
      <c r="J535" s="16">
        <f t="shared" si="48"/>
        <v>18</v>
      </c>
      <c r="K535" s="16">
        <f t="shared" si="49"/>
        <v>9</v>
      </c>
      <c r="L535" s="16">
        <f t="shared" si="50"/>
        <v>1</v>
      </c>
      <c r="M535" s="16">
        <f t="shared" si="51"/>
        <v>32</v>
      </c>
      <c r="N535" s="17" t="str">
        <f t="shared" si="52"/>
        <v>01.04.1866</v>
      </c>
      <c r="O535" s="32"/>
    </row>
    <row r="536" spans="9:15" x14ac:dyDescent="0.25">
      <c r="I536" s="15">
        <v>1865</v>
      </c>
      <c r="J536" s="16">
        <f t="shared" si="48"/>
        <v>18</v>
      </c>
      <c r="K536" s="16">
        <f t="shared" si="49"/>
        <v>20</v>
      </c>
      <c r="L536" s="16">
        <f t="shared" si="50"/>
        <v>5</v>
      </c>
      <c r="M536" s="16">
        <f t="shared" si="51"/>
        <v>47</v>
      </c>
      <c r="N536" s="17" t="str">
        <f t="shared" si="52"/>
        <v>16.04.1865</v>
      </c>
      <c r="O536" s="32"/>
    </row>
    <row r="537" spans="9:15" x14ac:dyDescent="0.25">
      <c r="I537" s="21">
        <v>1864</v>
      </c>
      <c r="J537" s="16">
        <f t="shared" si="48"/>
        <v>18</v>
      </c>
      <c r="K537" s="16">
        <f t="shared" si="49"/>
        <v>1</v>
      </c>
      <c r="L537" s="16">
        <f t="shared" si="50"/>
        <v>4</v>
      </c>
      <c r="M537" s="16">
        <f t="shared" si="51"/>
        <v>27</v>
      </c>
      <c r="N537" s="17" t="str">
        <f t="shared" si="52"/>
        <v>27.03.1864</v>
      </c>
      <c r="O537" s="32"/>
    </row>
    <row r="538" spans="9:15" x14ac:dyDescent="0.25">
      <c r="I538" s="15">
        <v>1863</v>
      </c>
      <c r="J538" s="16">
        <f t="shared" si="48"/>
        <v>18</v>
      </c>
      <c r="K538" s="16">
        <f t="shared" si="49"/>
        <v>12</v>
      </c>
      <c r="L538" s="16">
        <f t="shared" si="50"/>
        <v>2</v>
      </c>
      <c r="M538" s="16">
        <f t="shared" si="51"/>
        <v>36</v>
      </c>
      <c r="N538" s="17" t="str">
        <f t="shared" si="52"/>
        <v>05.04.1863</v>
      </c>
      <c r="O538" s="32"/>
    </row>
    <row r="539" spans="9:15" x14ac:dyDescent="0.25">
      <c r="I539" s="21">
        <v>1862</v>
      </c>
      <c r="J539" s="16">
        <f t="shared" si="48"/>
        <v>18</v>
      </c>
      <c r="K539" s="16">
        <f t="shared" si="49"/>
        <v>23</v>
      </c>
      <c r="L539" s="16">
        <f t="shared" si="50"/>
        <v>6</v>
      </c>
      <c r="M539" s="16">
        <f t="shared" si="51"/>
        <v>51</v>
      </c>
      <c r="N539" s="17" t="str">
        <f t="shared" si="52"/>
        <v>20.04.1862</v>
      </c>
      <c r="O539" s="32"/>
    </row>
    <row r="540" spans="9:15" x14ac:dyDescent="0.25">
      <c r="I540" s="15">
        <v>1861</v>
      </c>
      <c r="J540" s="16">
        <f t="shared" si="48"/>
        <v>18</v>
      </c>
      <c r="K540" s="16">
        <f t="shared" si="49"/>
        <v>5</v>
      </c>
      <c r="L540" s="16">
        <f t="shared" si="50"/>
        <v>4</v>
      </c>
      <c r="M540" s="16">
        <f t="shared" si="51"/>
        <v>31</v>
      </c>
      <c r="N540" s="17" t="str">
        <f t="shared" si="52"/>
        <v>31.03.1861</v>
      </c>
      <c r="O540" s="32"/>
    </row>
    <row r="541" spans="9:15" x14ac:dyDescent="0.25">
      <c r="I541" s="21">
        <v>1860</v>
      </c>
      <c r="J541" s="16">
        <f t="shared" si="48"/>
        <v>18</v>
      </c>
      <c r="K541" s="16">
        <f t="shared" si="49"/>
        <v>16</v>
      </c>
      <c r="L541" s="16">
        <f t="shared" si="50"/>
        <v>1</v>
      </c>
      <c r="M541" s="16">
        <f t="shared" si="51"/>
        <v>39</v>
      </c>
      <c r="N541" s="17" t="str">
        <f t="shared" si="52"/>
        <v>08.04.1860</v>
      </c>
      <c r="O541" s="32"/>
    </row>
    <row r="542" spans="9:15" x14ac:dyDescent="0.25">
      <c r="I542" s="15">
        <v>1859</v>
      </c>
      <c r="J542" s="16">
        <f t="shared" si="48"/>
        <v>18</v>
      </c>
      <c r="K542" s="16">
        <f t="shared" si="49"/>
        <v>27</v>
      </c>
      <c r="L542" s="16">
        <f t="shared" si="50"/>
        <v>6</v>
      </c>
      <c r="M542" s="16">
        <f t="shared" si="51"/>
        <v>55</v>
      </c>
      <c r="N542" s="17" t="str">
        <f t="shared" si="52"/>
        <v>24.04.1859</v>
      </c>
      <c r="O542" s="32"/>
    </row>
    <row r="543" spans="9:15" x14ac:dyDescent="0.25">
      <c r="I543" s="21">
        <v>1858</v>
      </c>
      <c r="J543" s="16">
        <f t="shared" si="48"/>
        <v>18</v>
      </c>
      <c r="K543" s="16">
        <f t="shared" si="49"/>
        <v>8</v>
      </c>
      <c r="L543" s="16">
        <f t="shared" si="50"/>
        <v>5</v>
      </c>
      <c r="M543" s="16">
        <f t="shared" si="51"/>
        <v>35</v>
      </c>
      <c r="N543" s="17" t="str">
        <f t="shared" si="52"/>
        <v>04.04.1858</v>
      </c>
      <c r="O543" s="32"/>
    </row>
    <row r="544" spans="9:15" x14ac:dyDescent="0.25">
      <c r="I544" s="15">
        <v>1857</v>
      </c>
      <c r="J544" s="16">
        <f t="shared" si="48"/>
        <v>18</v>
      </c>
      <c r="K544" s="16">
        <f t="shared" si="49"/>
        <v>19</v>
      </c>
      <c r="L544" s="16">
        <f t="shared" si="50"/>
        <v>2</v>
      </c>
      <c r="M544" s="16">
        <f t="shared" si="51"/>
        <v>43</v>
      </c>
      <c r="N544" s="17" t="str">
        <f t="shared" si="52"/>
        <v>12.04.1857</v>
      </c>
      <c r="O544" s="32"/>
    </row>
    <row r="545" spans="9:15" x14ac:dyDescent="0.25">
      <c r="I545" s="21">
        <v>1856</v>
      </c>
      <c r="J545" s="16">
        <f t="shared" si="48"/>
        <v>18</v>
      </c>
      <c r="K545" s="16">
        <f t="shared" si="49"/>
        <v>0</v>
      </c>
      <c r="L545" s="16">
        <f t="shared" si="50"/>
        <v>1</v>
      </c>
      <c r="M545" s="16">
        <f t="shared" si="51"/>
        <v>23</v>
      </c>
      <c r="N545" s="17" t="str">
        <f t="shared" si="52"/>
        <v>23.03.1856</v>
      </c>
      <c r="O545" s="32"/>
    </row>
    <row r="546" spans="9:15" x14ac:dyDescent="0.25">
      <c r="I546" s="15">
        <v>1855</v>
      </c>
      <c r="J546" s="16">
        <f t="shared" si="48"/>
        <v>18</v>
      </c>
      <c r="K546" s="16">
        <f t="shared" si="49"/>
        <v>11</v>
      </c>
      <c r="L546" s="16">
        <f t="shared" si="50"/>
        <v>6</v>
      </c>
      <c r="M546" s="16">
        <f t="shared" si="51"/>
        <v>39</v>
      </c>
      <c r="N546" s="17" t="str">
        <f t="shared" si="52"/>
        <v>08.04.1855</v>
      </c>
      <c r="O546" s="32"/>
    </row>
    <row r="547" spans="9:15" x14ac:dyDescent="0.25">
      <c r="I547" s="21">
        <v>1854</v>
      </c>
      <c r="J547" s="16">
        <f t="shared" si="48"/>
        <v>18</v>
      </c>
      <c r="K547" s="16">
        <f t="shared" si="49"/>
        <v>22</v>
      </c>
      <c r="L547" s="16">
        <f t="shared" si="50"/>
        <v>3</v>
      </c>
      <c r="M547" s="16">
        <f t="shared" si="51"/>
        <v>47</v>
      </c>
      <c r="N547" s="17" t="str">
        <f t="shared" si="52"/>
        <v>16.04.1854</v>
      </c>
      <c r="O547" s="32"/>
    </row>
    <row r="548" spans="9:15" x14ac:dyDescent="0.25">
      <c r="I548" s="15">
        <v>1853</v>
      </c>
      <c r="J548" s="16">
        <f t="shared" si="48"/>
        <v>18</v>
      </c>
      <c r="K548" s="16">
        <f t="shared" si="49"/>
        <v>3</v>
      </c>
      <c r="L548" s="16">
        <f t="shared" si="50"/>
        <v>2</v>
      </c>
      <c r="M548" s="16">
        <f t="shared" si="51"/>
        <v>27</v>
      </c>
      <c r="N548" s="17" t="str">
        <f t="shared" si="52"/>
        <v>27.03.1853</v>
      </c>
      <c r="O548" s="32"/>
    </row>
    <row r="549" spans="9:15" x14ac:dyDescent="0.25">
      <c r="I549" s="21">
        <v>1852</v>
      </c>
      <c r="J549" s="16">
        <f t="shared" si="48"/>
        <v>18</v>
      </c>
      <c r="K549" s="16">
        <f t="shared" si="49"/>
        <v>14</v>
      </c>
      <c r="L549" s="16">
        <f t="shared" si="50"/>
        <v>6</v>
      </c>
      <c r="M549" s="16">
        <f t="shared" si="51"/>
        <v>42</v>
      </c>
      <c r="N549" s="17" t="str">
        <f t="shared" si="52"/>
        <v>11.04.1852</v>
      </c>
      <c r="O549" s="32"/>
    </row>
    <row r="550" spans="9:15" x14ac:dyDescent="0.25">
      <c r="I550" s="15">
        <v>1851</v>
      </c>
      <c r="J550" s="16">
        <f t="shared" ref="J550:J613" si="53">INT(I550/100)</f>
        <v>18</v>
      </c>
      <c r="K550" s="16">
        <f t="shared" ref="K550:K613" si="54">MOD(19*MOD(I550,19)+J550-INT(J550/4)-INT((J550-INT((J550+8)/25)+1)/3)+15,30)</f>
        <v>25</v>
      </c>
      <c r="L550" s="16">
        <f t="shared" ref="L550:L613" si="55">MOD(32+2*MOD(J550,4)+2*INT(MOD(I550,100)/4)-K550-MOD(MOD(I550,100),4),7)</f>
        <v>4</v>
      </c>
      <c r="M550" s="16">
        <f t="shared" ref="M550:M613" si="56">K550+L550-7*INT((MOD(I550,19)+11*K550+22*L550)/451)+22</f>
        <v>51</v>
      </c>
      <c r="N550" s="17" t="str">
        <f t="shared" ref="N550:N613" si="57">TEXT(IF(M550-31 &lt; 1,M550,M550-31),"0#")&amp;"."&amp;IF(M550 &gt; 31,"04.","03.")&amp;I550</f>
        <v>20.04.1851</v>
      </c>
      <c r="O550" s="32"/>
    </row>
    <row r="551" spans="9:15" x14ac:dyDescent="0.25">
      <c r="I551" s="21">
        <v>1850</v>
      </c>
      <c r="J551" s="16">
        <f t="shared" si="53"/>
        <v>18</v>
      </c>
      <c r="K551" s="16">
        <f t="shared" si="54"/>
        <v>6</v>
      </c>
      <c r="L551" s="16">
        <f t="shared" si="55"/>
        <v>3</v>
      </c>
      <c r="M551" s="16">
        <f t="shared" si="56"/>
        <v>31</v>
      </c>
      <c r="N551" s="17" t="str">
        <f t="shared" si="57"/>
        <v>31.03.1850</v>
      </c>
      <c r="O551" s="32"/>
    </row>
    <row r="552" spans="9:15" x14ac:dyDescent="0.25">
      <c r="I552" s="15">
        <v>1849</v>
      </c>
      <c r="J552" s="16">
        <f t="shared" si="53"/>
        <v>18</v>
      </c>
      <c r="K552" s="16">
        <f t="shared" si="54"/>
        <v>17</v>
      </c>
      <c r="L552" s="16">
        <f t="shared" si="55"/>
        <v>0</v>
      </c>
      <c r="M552" s="16">
        <f t="shared" si="56"/>
        <v>39</v>
      </c>
      <c r="N552" s="17" t="str">
        <f t="shared" si="57"/>
        <v>08.04.1849</v>
      </c>
      <c r="O552" s="32"/>
    </row>
    <row r="553" spans="9:15" x14ac:dyDescent="0.25">
      <c r="I553" s="21">
        <v>1848</v>
      </c>
      <c r="J553" s="16">
        <f t="shared" si="53"/>
        <v>18</v>
      </c>
      <c r="K553" s="16">
        <f t="shared" si="54"/>
        <v>28</v>
      </c>
      <c r="L553" s="16">
        <f t="shared" si="55"/>
        <v>4</v>
      </c>
      <c r="M553" s="16">
        <f t="shared" si="56"/>
        <v>54</v>
      </c>
      <c r="N553" s="17" t="str">
        <f t="shared" si="57"/>
        <v>23.04.1848</v>
      </c>
    </row>
    <row r="554" spans="9:15" x14ac:dyDescent="0.25">
      <c r="I554" s="15">
        <v>1847</v>
      </c>
      <c r="J554" s="16">
        <f t="shared" si="53"/>
        <v>18</v>
      </c>
      <c r="K554" s="16">
        <f t="shared" si="54"/>
        <v>9</v>
      </c>
      <c r="L554" s="16">
        <f t="shared" si="55"/>
        <v>4</v>
      </c>
      <c r="M554" s="16">
        <f t="shared" si="56"/>
        <v>35</v>
      </c>
      <c r="N554" s="17" t="str">
        <f t="shared" si="57"/>
        <v>04.04.1847</v>
      </c>
    </row>
    <row r="555" spans="9:15" x14ac:dyDescent="0.25">
      <c r="I555" s="21">
        <v>1846</v>
      </c>
      <c r="J555" s="16">
        <f t="shared" si="53"/>
        <v>18</v>
      </c>
      <c r="K555" s="16">
        <f t="shared" si="54"/>
        <v>20</v>
      </c>
      <c r="L555" s="16">
        <f t="shared" si="55"/>
        <v>1</v>
      </c>
      <c r="M555" s="16">
        <f t="shared" si="56"/>
        <v>43</v>
      </c>
      <c r="N555" s="17" t="str">
        <f t="shared" si="57"/>
        <v>12.04.1846</v>
      </c>
    </row>
    <row r="556" spans="9:15" x14ac:dyDescent="0.25">
      <c r="I556" s="15">
        <v>1845</v>
      </c>
      <c r="J556" s="16">
        <f t="shared" si="53"/>
        <v>18</v>
      </c>
      <c r="K556" s="16">
        <f t="shared" si="54"/>
        <v>1</v>
      </c>
      <c r="L556" s="16">
        <f t="shared" si="55"/>
        <v>0</v>
      </c>
      <c r="M556" s="16">
        <f t="shared" si="56"/>
        <v>23</v>
      </c>
      <c r="N556" s="17" t="str">
        <f t="shared" si="57"/>
        <v>23.03.1845</v>
      </c>
    </row>
    <row r="557" spans="9:15" x14ac:dyDescent="0.25">
      <c r="I557" s="21">
        <v>1844</v>
      </c>
      <c r="J557" s="16">
        <f t="shared" si="53"/>
        <v>18</v>
      </c>
      <c r="K557" s="16">
        <f t="shared" si="54"/>
        <v>12</v>
      </c>
      <c r="L557" s="16">
        <f t="shared" si="55"/>
        <v>4</v>
      </c>
      <c r="M557" s="16">
        <f t="shared" si="56"/>
        <v>38</v>
      </c>
      <c r="N557" s="17" t="str">
        <f t="shared" si="57"/>
        <v>07.04.1844</v>
      </c>
    </row>
    <row r="558" spans="9:15" x14ac:dyDescent="0.25">
      <c r="I558" s="15">
        <v>1843</v>
      </c>
      <c r="J558" s="16">
        <f t="shared" si="53"/>
        <v>18</v>
      </c>
      <c r="K558" s="16">
        <f t="shared" si="54"/>
        <v>23</v>
      </c>
      <c r="L558" s="16">
        <f t="shared" si="55"/>
        <v>2</v>
      </c>
      <c r="M558" s="16">
        <f t="shared" si="56"/>
        <v>47</v>
      </c>
      <c r="N558" s="17" t="str">
        <f t="shared" si="57"/>
        <v>16.04.1843</v>
      </c>
    </row>
    <row r="559" spans="9:15" x14ac:dyDescent="0.25">
      <c r="I559" s="21">
        <v>1842</v>
      </c>
      <c r="J559" s="16">
        <f t="shared" si="53"/>
        <v>18</v>
      </c>
      <c r="K559" s="16">
        <f t="shared" si="54"/>
        <v>5</v>
      </c>
      <c r="L559" s="16">
        <f t="shared" si="55"/>
        <v>0</v>
      </c>
      <c r="M559" s="16">
        <f t="shared" si="56"/>
        <v>27</v>
      </c>
      <c r="N559" s="17" t="str">
        <f t="shared" si="57"/>
        <v>27.03.1842</v>
      </c>
    </row>
    <row r="560" spans="9:15" x14ac:dyDescent="0.25">
      <c r="I560" s="15">
        <v>1841</v>
      </c>
      <c r="J560" s="16">
        <f t="shared" si="53"/>
        <v>18</v>
      </c>
      <c r="K560" s="16">
        <f t="shared" si="54"/>
        <v>16</v>
      </c>
      <c r="L560" s="16">
        <f t="shared" si="55"/>
        <v>4</v>
      </c>
      <c r="M560" s="16">
        <f t="shared" si="56"/>
        <v>42</v>
      </c>
      <c r="N560" s="17" t="str">
        <f t="shared" si="57"/>
        <v>11.04.1841</v>
      </c>
    </row>
    <row r="561" spans="9:14" x14ac:dyDescent="0.25">
      <c r="I561" s="21">
        <v>1840</v>
      </c>
      <c r="J561" s="16">
        <f t="shared" si="53"/>
        <v>18</v>
      </c>
      <c r="K561" s="16">
        <f t="shared" si="54"/>
        <v>27</v>
      </c>
      <c r="L561" s="16">
        <f t="shared" si="55"/>
        <v>1</v>
      </c>
      <c r="M561" s="16">
        <f t="shared" si="56"/>
        <v>50</v>
      </c>
      <c r="N561" s="17" t="str">
        <f t="shared" si="57"/>
        <v>19.04.1840</v>
      </c>
    </row>
    <row r="562" spans="9:14" x14ac:dyDescent="0.25">
      <c r="I562" s="15">
        <v>1839</v>
      </c>
      <c r="J562" s="16">
        <f t="shared" si="53"/>
        <v>18</v>
      </c>
      <c r="K562" s="16">
        <f t="shared" si="54"/>
        <v>8</v>
      </c>
      <c r="L562" s="16">
        <f t="shared" si="55"/>
        <v>1</v>
      </c>
      <c r="M562" s="16">
        <f t="shared" si="56"/>
        <v>31</v>
      </c>
      <c r="N562" s="17" t="str">
        <f t="shared" si="57"/>
        <v>31.03.1839</v>
      </c>
    </row>
    <row r="563" spans="9:14" x14ac:dyDescent="0.25">
      <c r="I563" s="21">
        <v>1838</v>
      </c>
      <c r="J563" s="16">
        <f t="shared" si="53"/>
        <v>18</v>
      </c>
      <c r="K563" s="16">
        <f t="shared" si="54"/>
        <v>19</v>
      </c>
      <c r="L563" s="16">
        <f t="shared" si="55"/>
        <v>5</v>
      </c>
      <c r="M563" s="16">
        <f t="shared" si="56"/>
        <v>46</v>
      </c>
      <c r="N563" s="17" t="str">
        <f t="shared" si="57"/>
        <v>15.04.1838</v>
      </c>
    </row>
    <row r="564" spans="9:14" x14ac:dyDescent="0.25">
      <c r="I564" s="15">
        <v>1837</v>
      </c>
      <c r="J564" s="16">
        <f t="shared" si="53"/>
        <v>18</v>
      </c>
      <c r="K564" s="16">
        <f t="shared" si="54"/>
        <v>0</v>
      </c>
      <c r="L564" s="16">
        <f t="shared" si="55"/>
        <v>4</v>
      </c>
      <c r="M564" s="16">
        <f t="shared" si="56"/>
        <v>26</v>
      </c>
      <c r="N564" s="17" t="str">
        <f t="shared" si="57"/>
        <v>26.03.1837</v>
      </c>
    </row>
    <row r="565" spans="9:14" x14ac:dyDescent="0.25">
      <c r="I565" s="21">
        <v>1836</v>
      </c>
      <c r="J565" s="16">
        <f t="shared" si="53"/>
        <v>18</v>
      </c>
      <c r="K565" s="16">
        <f t="shared" si="54"/>
        <v>11</v>
      </c>
      <c r="L565" s="16">
        <f t="shared" si="55"/>
        <v>1</v>
      </c>
      <c r="M565" s="16">
        <f t="shared" si="56"/>
        <v>34</v>
      </c>
      <c r="N565" s="17" t="str">
        <f t="shared" si="57"/>
        <v>03.04.1836</v>
      </c>
    </row>
    <row r="566" spans="9:14" x14ac:dyDescent="0.25">
      <c r="I566" s="15">
        <v>1835</v>
      </c>
      <c r="J566" s="16">
        <f t="shared" si="53"/>
        <v>18</v>
      </c>
      <c r="K566" s="16">
        <f t="shared" si="54"/>
        <v>22</v>
      </c>
      <c r="L566" s="16">
        <f t="shared" si="55"/>
        <v>6</v>
      </c>
      <c r="M566" s="16">
        <f t="shared" si="56"/>
        <v>50</v>
      </c>
      <c r="N566" s="17" t="str">
        <f t="shared" si="57"/>
        <v>19.04.1835</v>
      </c>
    </row>
    <row r="567" spans="9:14" x14ac:dyDescent="0.25">
      <c r="I567" s="21">
        <v>1834</v>
      </c>
      <c r="J567" s="16">
        <f t="shared" si="53"/>
        <v>18</v>
      </c>
      <c r="K567" s="16">
        <f t="shared" si="54"/>
        <v>3</v>
      </c>
      <c r="L567" s="16">
        <f t="shared" si="55"/>
        <v>5</v>
      </c>
      <c r="M567" s="16">
        <f t="shared" si="56"/>
        <v>30</v>
      </c>
      <c r="N567" s="17" t="str">
        <f t="shared" si="57"/>
        <v>30.03.1834</v>
      </c>
    </row>
    <row r="568" spans="9:14" x14ac:dyDescent="0.25">
      <c r="I568" s="15">
        <v>1833</v>
      </c>
      <c r="J568" s="16">
        <f t="shared" si="53"/>
        <v>18</v>
      </c>
      <c r="K568" s="16">
        <f t="shared" si="54"/>
        <v>14</v>
      </c>
      <c r="L568" s="16">
        <f t="shared" si="55"/>
        <v>2</v>
      </c>
      <c r="M568" s="16">
        <f t="shared" si="56"/>
        <v>38</v>
      </c>
      <c r="N568" s="17" t="str">
        <f t="shared" si="57"/>
        <v>07.04.1833</v>
      </c>
    </row>
    <row r="569" spans="9:14" x14ac:dyDescent="0.25">
      <c r="I569" s="21">
        <v>1832</v>
      </c>
      <c r="J569" s="16">
        <f t="shared" si="53"/>
        <v>18</v>
      </c>
      <c r="K569" s="16">
        <f t="shared" si="54"/>
        <v>25</v>
      </c>
      <c r="L569" s="16">
        <f t="shared" si="55"/>
        <v>6</v>
      </c>
      <c r="M569" s="16">
        <f t="shared" si="56"/>
        <v>53</v>
      </c>
      <c r="N569" s="17" t="str">
        <f t="shared" si="57"/>
        <v>22.04.1832</v>
      </c>
    </row>
    <row r="570" spans="9:14" x14ac:dyDescent="0.25">
      <c r="I570" s="15">
        <v>1831</v>
      </c>
      <c r="J570" s="16">
        <f t="shared" si="53"/>
        <v>18</v>
      </c>
      <c r="K570" s="16">
        <f t="shared" si="54"/>
        <v>6</v>
      </c>
      <c r="L570" s="16">
        <f t="shared" si="55"/>
        <v>6</v>
      </c>
      <c r="M570" s="16">
        <f t="shared" si="56"/>
        <v>34</v>
      </c>
      <c r="N570" s="17" t="str">
        <f t="shared" si="57"/>
        <v>03.04.1831</v>
      </c>
    </row>
    <row r="571" spans="9:14" x14ac:dyDescent="0.25">
      <c r="I571" s="21">
        <v>1830</v>
      </c>
      <c r="J571" s="16">
        <f t="shared" si="53"/>
        <v>18</v>
      </c>
      <c r="K571" s="16">
        <f t="shared" si="54"/>
        <v>17</v>
      </c>
      <c r="L571" s="16">
        <f t="shared" si="55"/>
        <v>3</v>
      </c>
      <c r="M571" s="16">
        <f t="shared" si="56"/>
        <v>42</v>
      </c>
      <c r="N571" s="17" t="str">
        <f t="shared" si="57"/>
        <v>11.04.1830</v>
      </c>
    </row>
    <row r="572" spans="9:14" x14ac:dyDescent="0.25">
      <c r="I572" s="15">
        <v>1829</v>
      </c>
      <c r="J572" s="16">
        <f t="shared" si="53"/>
        <v>18</v>
      </c>
      <c r="K572" s="16">
        <f t="shared" si="54"/>
        <v>28</v>
      </c>
      <c r="L572" s="16">
        <f t="shared" si="55"/>
        <v>0</v>
      </c>
      <c r="M572" s="16">
        <f t="shared" si="56"/>
        <v>50</v>
      </c>
      <c r="N572" s="17" t="str">
        <f t="shared" si="57"/>
        <v>19.04.1829</v>
      </c>
    </row>
    <row r="573" spans="9:14" x14ac:dyDescent="0.25">
      <c r="I573" s="21">
        <v>1828</v>
      </c>
      <c r="J573" s="16">
        <f t="shared" si="53"/>
        <v>18</v>
      </c>
      <c r="K573" s="16">
        <f t="shared" si="54"/>
        <v>9</v>
      </c>
      <c r="L573" s="16">
        <f t="shared" si="55"/>
        <v>6</v>
      </c>
      <c r="M573" s="16">
        <f t="shared" si="56"/>
        <v>37</v>
      </c>
      <c r="N573" s="17" t="str">
        <f t="shared" si="57"/>
        <v>06.04.1828</v>
      </c>
    </row>
    <row r="574" spans="9:14" x14ac:dyDescent="0.25">
      <c r="I574" s="15">
        <v>1827</v>
      </c>
      <c r="J574" s="16">
        <f t="shared" si="53"/>
        <v>18</v>
      </c>
      <c r="K574" s="16">
        <f t="shared" si="54"/>
        <v>20</v>
      </c>
      <c r="L574" s="16">
        <f t="shared" si="55"/>
        <v>4</v>
      </c>
      <c r="M574" s="16">
        <f t="shared" si="56"/>
        <v>46</v>
      </c>
      <c r="N574" s="17" t="str">
        <f t="shared" si="57"/>
        <v>15.04.1827</v>
      </c>
    </row>
    <row r="575" spans="9:14" x14ac:dyDescent="0.25">
      <c r="I575" s="21">
        <v>1826</v>
      </c>
      <c r="J575" s="16">
        <f t="shared" si="53"/>
        <v>18</v>
      </c>
      <c r="K575" s="16">
        <f t="shared" si="54"/>
        <v>1</v>
      </c>
      <c r="L575" s="16">
        <f t="shared" si="55"/>
        <v>3</v>
      </c>
      <c r="M575" s="16">
        <f t="shared" si="56"/>
        <v>26</v>
      </c>
      <c r="N575" s="17" t="str">
        <f t="shared" si="57"/>
        <v>26.03.1826</v>
      </c>
    </row>
    <row r="576" spans="9:14" x14ac:dyDescent="0.25">
      <c r="I576" s="15">
        <v>1825</v>
      </c>
      <c r="J576" s="16">
        <f t="shared" si="53"/>
        <v>18</v>
      </c>
      <c r="K576" s="16">
        <f t="shared" si="54"/>
        <v>12</v>
      </c>
      <c r="L576" s="16">
        <f t="shared" si="55"/>
        <v>0</v>
      </c>
      <c r="M576" s="16">
        <f t="shared" si="56"/>
        <v>34</v>
      </c>
      <c r="N576" s="17" t="str">
        <f t="shared" si="57"/>
        <v>03.04.1825</v>
      </c>
    </row>
    <row r="577" spans="9:14" x14ac:dyDescent="0.25">
      <c r="I577" s="21">
        <v>1824</v>
      </c>
      <c r="J577" s="16">
        <f t="shared" si="53"/>
        <v>18</v>
      </c>
      <c r="K577" s="16">
        <f t="shared" si="54"/>
        <v>23</v>
      </c>
      <c r="L577" s="16">
        <f t="shared" si="55"/>
        <v>4</v>
      </c>
      <c r="M577" s="16">
        <f t="shared" si="56"/>
        <v>49</v>
      </c>
      <c r="N577" s="17" t="str">
        <f t="shared" si="57"/>
        <v>18.04.1824</v>
      </c>
    </row>
    <row r="578" spans="9:14" x14ac:dyDescent="0.25">
      <c r="I578" s="15">
        <v>1823</v>
      </c>
      <c r="J578" s="16">
        <f t="shared" si="53"/>
        <v>18</v>
      </c>
      <c r="K578" s="16">
        <f t="shared" si="54"/>
        <v>5</v>
      </c>
      <c r="L578" s="16">
        <f t="shared" si="55"/>
        <v>3</v>
      </c>
      <c r="M578" s="16">
        <f t="shared" si="56"/>
        <v>30</v>
      </c>
      <c r="N578" s="17" t="str">
        <f t="shared" si="57"/>
        <v>30.03.1823</v>
      </c>
    </row>
    <row r="579" spans="9:14" x14ac:dyDescent="0.25">
      <c r="I579" s="21">
        <v>1822</v>
      </c>
      <c r="J579" s="16">
        <f t="shared" si="53"/>
        <v>18</v>
      </c>
      <c r="K579" s="16">
        <f t="shared" si="54"/>
        <v>16</v>
      </c>
      <c r="L579" s="16">
        <f t="shared" si="55"/>
        <v>0</v>
      </c>
      <c r="M579" s="16">
        <f t="shared" si="56"/>
        <v>38</v>
      </c>
      <c r="N579" s="17" t="str">
        <f t="shared" si="57"/>
        <v>07.04.1822</v>
      </c>
    </row>
    <row r="580" spans="9:14" x14ac:dyDescent="0.25">
      <c r="I580" s="15">
        <v>1821</v>
      </c>
      <c r="J580" s="16">
        <f t="shared" si="53"/>
        <v>18</v>
      </c>
      <c r="K580" s="16">
        <f t="shared" si="54"/>
        <v>27</v>
      </c>
      <c r="L580" s="16">
        <f t="shared" si="55"/>
        <v>4</v>
      </c>
      <c r="M580" s="16">
        <f t="shared" si="56"/>
        <v>53</v>
      </c>
      <c r="N580" s="17" t="str">
        <f t="shared" si="57"/>
        <v>22.04.1821</v>
      </c>
    </row>
    <row r="581" spans="9:14" x14ac:dyDescent="0.25">
      <c r="I581" s="21">
        <v>1820</v>
      </c>
      <c r="J581" s="16">
        <f t="shared" si="53"/>
        <v>18</v>
      </c>
      <c r="K581" s="16">
        <f t="shared" si="54"/>
        <v>8</v>
      </c>
      <c r="L581" s="16">
        <f t="shared" si="55"/>
        <v>3</v>
      </c>
      <c r="M581" s="16">
        <f t="shared" si="56"/>
        <v>33</v>
      </c>
      <c r="N581" s="17" t="str">
        <f t="shared" si="57"/>
        <v>02.04.1820</v>
      </c>
    </row>
    <row r="582" spans="9:14" x14ac:dyDescent="0.25">
      <c r="I582" s="15">
        <v>1819</v>
      </c>
      <c r="J582" s="16">
        <f t="shared" si="53"/>
        <v>18</v>
      </c>
      <c r="K582" s="16">
        <f t="shared" si="54"/>
        <v>19</v>
      </c>
      <c r="L582" s="16">
        <f t="shared" si="55"/>
        <v>1</v>
      </c>
      <c r="M582" s="16">
        <f t="shared" si="56"/>
        <v>42</v>
      </c>
      <c r="N582" s="17" t="str">
        <f t="shared" si="57"/>
        <v>11.04.1819</v>
      </c>
    </row>
    <row r="583" spans="9:14" x14ac:dyDescent="0.25">
      <c r="I583" s="21">
        <v>1818</v>
      </c>
      <c r="J583" s="16">
        <f t="shared" si="53"/>
        <v>18</v>
      </c>
      <c r="K583" s="16">
        <f t="shared" si="54"/>
        <v>0</v>
      </c>
      <c r="L583" s="16">
        <f t="shared" si="55"/>
        <v>0</v>
      </c>
      <c r="M583" s="16">
        <f t="shared" si="56"/>
        <v>22</v>
      </c>
      <c r="N583" s="17" t="str">
        <f t="shared" si="57"/>
        <v>22.03.1818</v>
      </c>
    </row>
    <row r="584" spans="9:14" x14ac:dyDescent="0.25">
      <c r="I584" s="15">
        <v>1817</v>
      </c>
      <c r="J584" s="16">
        <f t="shared" si="53"/>
        <v>18</v>
      </c>
      <c r="K584" s="16">
        <f t="shared" si="54"/>
        <v>11</v>
      </c>
      <c r="L584" s="16">
        <f t="shared" si="55"/>
        <v>4</v>
      </c>
      <c r="M584" s="16">
        <f t="shared" si="56"/>
        <v>37</v>
      </c>
      <c r="N584" s="17" t="str">
        <f t="shared" si="57"/>
        <v>06.04.1817</v>
      </c>
    </row>
    <row r="585" spans="9:14" x14ac:dyDescent="0.25">
      <c r="I585" s="21">
        <v>1816</v>
      </c>
      <c r="J585" s="16">
        <f t="shared" si="53"/>
        <v>18</v>
      </c>
      <c r="K585" s="16">
        <f t="shared" si="54"/>
        <v>22</v>
      </c>
      <c r="L585" s="16">
        <f t="shared" si="55"/>
        <v>1</v>
      </c>
      <c r="M585" s="16">
        <f t="shared" si="56"/>
        <v>45</v>
      </c>
      <c r="N585" s="17" t="str">
        <f t="shared" si="57"/>
        <v>14.04.1816</v>
      </c>
    </row>
    <row r="586" spans="9:14" x14ac:dyDescent="0.25">
      <c r="I586" s="15">
        <v>1815</v>
      </c>
      <c r="J586" s="16">
        <f t="shared" si="53"/>
        <v>18</v>
      </c>
      <c r="K586" s="16">
        <f t="shared" si="54"/>
        <v>3</v>
      </c>
      <c r="L586" s="16">
        <f t="shared" si="55"/>
        <v>1</v>
      </c>
      <c r="M586" s="16">
        <f t="shared" si="56"/>
        <v>26</v>
      </c>
      <c r="N586" s="17" t="str">
        <f t="shared" si="57"/>
        <v>26.03.1815</v>
      </c>
    </row>
    <row r="587" spans="9:14" x14ac:dyDescent="0.25">
      <c r="I587" s="21">
        <v>1814</v>
      </c>
      <c r="J587" s="16">
        <f t="shared" si="53"/>
        <v>18</v>
      </c>
      <c r="K587" s="16">
        <f t="shared" si="54"/>
        <v>14</v>
      </c>
      <c r="L587" s="16">
        <f t="shared" si="55"/>
        <v>5</v>
      </c>
      <c r="M587" s="16">
        <f t="shared" si="56"/>
        <v>41</v>
      </c>
      <c r="N587" s="17" t="str">
        <f t="shared" si="57"/>
        <v>10.04.1814</v>
      </c>
    </row>
    <row r="588" spans="9:14" x14ac:dyDescent="0.25">
      <c r="I588" s="15">
        <v>1813</v>
      </c>
      <c r="J588" s="16">
        <f t="shared" si="53"/>
        <v>18</v>
      </c>
      <c r="K588" s="16">
        <f t="shared" si="54"/>
        <v>25</v>
      </c>
      <c r="L588" s="16">
        <f t="shared" si="55"/>
        <v>2</v>
      </c>
      <c r="M588" s="16">
        <f t="shared" si="56"/>
        <v>49</v>
      </c>
      <c r="N588" s="17" t="str">
        <f t="shared" si="57"/>
        <v>18.04.1813</v>
      </c>
    </row>
    <row r="589" spans="9:14" x14ac:dyDescent="0.25">
      <c r="I589" s="21">
        <v>1812</v>
      </c>
      <c r="J589" s="16">
        <f t="shared" si="53"/>
        <v>18</v>
      </c>
      <c r="K589" s="16">
        <f t="shared" si="54"/>
        <v>6</v>
      </c>
      <c r="L589" s="16">
        <f t="shared" si="55"/>
        <v>1</v>
      </c>
      <c r="M589" s="16">
        <f t="shared" si="56"/>
        <v>29</v>
      </c>
      <c r="N589" s="17" t="str">
        <f t="shared" si="57"/>
        <v>29.03.1812</v>
      </c>
    </row>
    <row r="590" spans="9:14" x14ac:dyDescent="0.25">
      <c r="I590" s="15">
        <v>1811</v>
      </c>
      <c r="J590" s="16">
        <f t="shared" si="53"/>
        <v>18</v>
      </c>
      <c r="K590" s="16">
        <f t="shared" si="54"/>
        <v>17</v>
      </c>
      <c r="L590" s="16">
        <f t="shared" si="55"/>
        <v>6</v>
      </c>
      <c r="M590" s="16">
        <f t="shared" si="56"/>
        <v>45</v>
      </c>
      <c r="N590" s="17" t="str">
        <f t="shared" si="57"/>
        <v>14.04.1811</v>
      </c>
    </row>
    <row r="591" spans="9:14" x14ac:dyDescent="0.25">
      <c r="I591" s="21">
        <v>1810</v>
      </c>
      <c r="J591" s="16">
        <f t="shared" si="53"/>
        <v>18</v>
      </c>
      <c r="K591" s="16">
        <f t="shared" si="54"/>
        <v>28</v>
      </c>
      <c r="L591" s="16">
        <f t="shared" si="55"/>
        <v>3</v>
      </c>
      <c r="M591" s="16">
        <f t="shared" si="56"/>
        <v>53</v>
      </c>
      <c r="N591" s="17" t="str">
        <f t="shared" si="57"/>
        <v>22.04.1810</v>
      </c>
    </row>
    <row r="592" spans="9:14" x14ac:dyDescent="0.25">
      <c r="I592" s="15">
        <v>1809</v>
      </c>
      <c r="J592" s="16">
        <f t="shared" si="53"/>
        <v>18</v>
      </c>
      <c r="K592" s="16">
        <f t="shared" si="54"/>
        <v>9</v>
      </c>
      <c r="L592" s="16">
        <f t="shared" si="55"/>
        <v>2</v>
      </c>
      <c r="M592" s="16">
        <f t="shared" si="56"/>
        <v>33</v>
      </c>
      <c r="N592" s="17" t="str">
        <f t="shared" si="57"/>
        <v>02.04.1809</v>
      </c>
    </row>
    <row r="593" spans="9:14" x14ac:dyDescent="0.25">
      <c r="I593" s="21">
        <v>1808</v>
      </c>
      <c r="J593" s="16">
        <f t="shared" si="53"/>
        <v>18</v>
      </c>
      <c r="K593" s="16">
        <f t="shared" si="54"/>
        <v>20</v>
      </c>
      <c r="L593" s="16">
        <f t="shared" si="55"/>
        <v>6</v>
      </c>
      <c r="M593" s="16">
        <f t="shared" si="56"/>
        <v>48</v>
      </c>
      <c r="N593" s="17" t="str">
        <f t="shared" si="57"/>
        <v>17.04.1808</v>
      </c>
    </row>
    <row r="594" spans="9:14" x14ac:dyDescent="0.25">
      <c r="I594" s="15">
        <v>1807</v>
      </c>
      <c r="J594" s="16">
        <f t="shared" si="53"/>
        <v>18</v>
      </c>
      <c r="K594" s="16">
        <f t="shared" si="54"/>
        <v>1</v>
      </c>
      <c r="L594" s="16">
        <f t="shared" si="55"/>
        <v>6</v>
      </c>
      <c r="M594" s="16">
        <f t="shared" si="56"/>
        <v>29</v>
      </c>
      <c r="N594" s="17" t="str">
        <f t="shared" si="57"/>
        <v>29.03.1807</v>
      </c>
    </row>
    <row r="595" spans="9:14" x14ac:dyDescent="0.25">
      <c r="I595" s="21">
        <v>1806</v>
      </c>
      <c r="J595" s="16">
        <f t="shared" si="53"/>
        <v>18</v>
      </c>
      <c r="K595" s="16">
        <f t="shared" si="54"/>
        <v>12</v>
      </c>
      <c r="L595" s="16">
        <f t="shared" si="55"/>
        <v>3</v>
      </c>
      <c r="M595" s="16">
        <f t="shared" si="56"/>
        <v>37</v>
      </c>
      <c r="N595" s="17" t="str">
        <f t="shared" si="57"/>
        <v>06.04.1806</v>
      </c>
    </row>
    <row r="596" spans="9:14" x14ac:dyDescent="0.25">
      <c r="I596" s="15">
        <v>1805</v>
      </c>
      <c r="J596" s="16">
        <f t="shared" si="53"/>
        <v>18</v>
      </c>
      <c r="K596" s="16">
        <f t="shared" si="54"/>
        <v>23</v>
      </c>
      <c r="L596" s="16">
        <f t="shared" si="55"/>
        <v>0</v>
      </c>
      <c r="M596" s="16">
        <f t="shared" si="56"/>
        <v>45</v>
      </c>
      <c r="N596" s="17" t="str">
        <f t="shared" si="57"/>
        <v>14.04.1805</v>
      </c>
    </row>
    <row r="597" spans="9:14" x14ac:dyDescent="0.25">
      <c r="I597" s="21">
        <v>1804</v>
      </c>
      <c r="J597" s="16">
        <f t="shared" si="53"/>
        <v>18</v>
      </c>
      <c r="K597" s="16">
        <f t="shared" si="54"/>
        <v>5</v>
      </c>
      <c r="L597" s="16">
        <f t="shared" si="55"/>
        <v>5</v>
      </c>
      <c r="M597" s="16">
        <f t="shared" si="56"/>
        <v>32</v>
      </c>
      <c r="N597" s="17" t="str">
        <f t="shared" si="57"/>
        <v>01.04.1804</v>
      </c>
    </row>
    <row r="598" spans="9:14" x14ac:dyDescent="0.25">
      <c r="I598" s="15">
        <v>1803</v>
      </c>
      <c r="J598" s="16">
        <f t="shared" si="53"/>
        <v>18</v>
      </c>
      <c r="K598" s="16">
        <f t="shared" si="54"/>
        <v>16</v>
      </c>
      <c r="L598" s="16">
        <f t="shared" si="55"/>
        <v>3</v>
      </c>
      <c r="M598" s="16">
        <f t="shared" si="56"/>
        <v>41</v>
      </c>
      <c r="N598" s="17" t="str">
        <f t="shared" si="57"/>
        <v>10.04.1803</v>
      </c>
    </row>
    <row r="599" spans="9:14" x14ac:dyDescent="0.25">
      <c r="I599" s="21">
        <v>1802</v>
      </c>
      <c r="J599" s="16">
        <f t="shared" si="53"/>
        <v>18</v>
      </c>
      <c r="K599" s="16">
        <f t="shared" si="54"/>
        <v>27</v>
      </c>
      <c r="L599" s="16">
        <f t="shared" si="55"/>
        <v>0</v>
      </c>
      <c r="M599" s="16">
        <f t="shared" si="56"/>
        <v>49</v>
      </c>
      <c r="N599" s="17" t="str">
        <f t="shared" si="57"/>
        <v>18.04.1802</v>
      </c>
    </row>
    <row r="600" spans="9:14" x14ac:dyDescent="0.25">
      <c r="I600" s="15">
        <v>1801</v>
      </c>
      <c r="J600" s="16">
        <f t="shared" si="53"/>
        <v>18</v>
      </c>
      <c r="K600" s="16">
        <f t="shared" si="54"/>
        <v>8</v>
      </c>
      <c r="L600" s="16">
        <f t="shared" si="55"/>
        <v>6</v>
      </c>
      <c r="M600" s="16">
        <f t="shared" si="56"/>
        <v>36</v>
      </c>
      <c r="N600" s="17" t="str">
        <f t="shared" si="57"/>
        <v>05.04.1801</v>
      </c>
    </row>
    <row r="601" spans="9:14" x14ac:dyDescent="0.25">
      <c r="I601" s="21">
        <v>1800</v>
      </c>
      <c r="J601" s="16">
        <f t="shared" si="53"/>
        <v>18</v>
      </c>
      <c r="K601" s="16">
        <f t="shared" si="54"/>
        <v>19</v>
      </c>
      <c r="L601" s="16">
        <f t="shared" si="55"/>
        <v>3</v>
      </c>
      <c r="M601" s="16">
        <f t="shared" si="56"/>
        <v>44</v>
      </c>
      <c r="N601" s="17" t="str">
        <f t="shared" si="57"/>
        <v>13.04.1800</v>
      </c>
    </row>
    <row r="602" spans="9:14" x14ac:dyDescent="0.25">
      <c r="I602" s="15">
        <v>1799</v>
      </c>
      <c r="J602" s="16">
        <f t="shared" si="53"/>
        <v>17</v>
      </c>
      <c r="K602" s="16">
        <f t="shared" si="54"/>
        <v>0</v>
      </c>
      <c r="L602" s="16">
        <f t="shared" si="55"/>
        <v>2</v>
      </c>
      <c r="M602" s="16">
        <f t="shared" si="56"/>
        <v>24</v>
      </c>
      <c r="N602" s="17" t="str">
        <f t="shared" si="57"/>
        <v>24.03.1799</v>
      </c>
    </row>
    <row r="603" spans="9:14" x14ac:dyDescent="0.25">
      <c r="I603" s="21">
        <v>1798</v>
      </c>
      <c r="J603" s="16">
        <f t="shared" si="53"/>
        <v>17</v>
      </c>
      <c r="K603" s="16">
        <f t="shared" si="54"/>
        <v>11</v>
      </c>
      <c r="L603" s="16">
        <f t="shared" si="55"/>
        <v>6</v>
      </c>
      <c r="M603" s="16">
        <f t="shared" si="56"/>
        <v>39</v>
      </c>
      <c r="N603" s="17" t="str">
        <f t="shared" si="57"/>
        <v>08.04.1798</v>
      </c>
    </row>
    <row r="604" spans="9:14" x14ac:dyDescent="0.25">
      <c r="I604" s="15">
        <v>1797</v>
      </c>
      <c r="J604" s="16">
        <f t="shared" si="53"/>
        <v>17</v>
      </c>
      <c r="K604" s="16">
        <f t="shared" si="54"/>
        <v>22</v>
      </c>
      <c r="L604" s="16">
        <f t="shared" si="55"/>
        <v>3</v>
      </c>
      <c r="M604" s="16">
        <f t="shared" si="56"/>
        <v>47</v>
      </c>
      <c r="N604" s="17" t="str">
        <f t="shared" si="57"/>
        <v>16.04.1797</v>
      </c>
    </row>
    <row r="605" spans="9:14" x14ac:dyDescent="0.25">
      <c r="I605" s="21">
        <v>1796</v>
      </c>
      <c r="J605" s="16">
        <f t="shared" si="53"/>
        <v>17</v>
      </c>
      <c r="K605" s="16">
        <f t="shared" si="54"/>
        <v>3</v>
      </c>
      <c r="L605" s="16">
        <f t="shared" si="55"/>
        <v>2</v>
      </c>
      <c r="M605" s="16">
        <f t="shared" si="56"/>
        <v>27</v>
      </c>
      <c r="N605" s="17" t="str">
        <f t="shared" si="57"/>
        <v>27.03.1796</v>
      </c>
    </row>
    <row r="606" spans="9:14" x14ac:dyDescent="0.25">
      <c r="I606" s="15">
        <v>1795</v>
      </c>
      <c r="J606" s="16">
        <f t="shared" si="53"/>
        <v>17</v>
      </c>
      <c r="K606" s="16">
        <f t="shared" si="54"/>
        <v>14</v>
      </c>
      <c r="L606" s="16">
        <f t="shared" si="55"/>
        <v>0</v>
      </c>
      <c r="M606" s="16">
        <f t="shared" si="56"/>
        <v>36</v>
      </c>
      <c r="N606" s="17" t="str">
        <f t="shared" si="57"/>
        <v>05.04.1795</v>
      </c>
    </row>
    <row r="607" spans="9:14" x14ac:dyDescent="0.25">
      <c r="I607" s="21">
        <v>1794</v>
      </c>
      <c r="J607" s="16">
        <f t="shared" si="53"/>
        <v>17</v>
      </c>
      <c r="K607" s="16">
        <f t="shared" si="54"/>
        <v>25</v>
      </c>
      <c r="L607" s="16">
        <f t="shared" si="55"/>
        <v>4</v>
      </c>
      <c r="M607" s="16">
        <f t="shared" si="56"/>
        <v>51</v>
      </c>
      <c r="N607" s="17" t="str">
        <f t="shared" si="57"/>
        <v>20.04.1794</v>
      </c>
    </row>
    <row r="608" spans="9:14" x14ac:dyDescent="0.25">
      <c r="I608" s="15">
        <v>1793</v>
      </c>
      <c r="J608" s="16">
        <f t="shared" si="53"/>
        <v>17</v>
      </c>
      <c r="K608" s="16">
        <f t="shared" si="54"/>
        <v>6</v>
      </c>
      <c r="L608" s="16">
        <f t="shared" si="55"/>
        <v>3</v>
      </c>
      <c r="M608" s="16">
        <f t="shared" si="56"/>
        <v>31</v>
      </c>
      <c r="N608" s="17" t="str">
        <f t="shared" si="57"/>
        <v>31.03.1793</v>
      </c>
    </row>
    <row r="609" spans="9:14" x14ac:dyDescent="0.25">
      <c r="I609" s="21">
        <v>1792</v>
      </c>
      <c r="J609" s="16">
        <f t="shared" si="53"/>
        <v>17</v>
      </c>
      <c r="K609" s="16">
        <f t="shared" si="54"/>
        <v>17</v>
      </c>
      <c r="L609" s="16">
        <f t="shared" si="55"/>
        <v>0</v>
      </c>
      <c r="M609" s="16">
        <f t="shared" si="56"/>
        <v>39</v>
      </c>
      <c r="N609" s="17" t="str">
        <f t="shared" si="57"/>
        <v>08.04.1792</v>
      </c>
    </row>
    <row r="610" spans="9:14" x14ac:dyDescent="0.25">
      <c r="I610" s="15">
        <v>1791</v>
      </c>
      <c r="J610" s="16">
        <f t="shared" si="53"/>
        <v>17</v>
      </c>
      <c r="K610" s="16">
        <f t="shared" si="54"/>
        <v>28</v>
      </c>
      <c r="L610" s="16">
        <f t="shared" si="55"/>
        <v>5</v>
      </c>
      <c r="M610" s="16">
        <f t="shared" si="56"/>
        <v>55</v>
      </c>
      <c r="N610" s="17" t="str">
        <f t="shared" si="57"/>
        <v>24.04.1791</v>
      </c>
    </row>
    <row r="611" spans="9:14" x14ac:dyDescent="0.25">
      <c r="I611" s="21">
        <v>1790</v>
      </c>
      <c r="J611" s="16">
        <f t="shared" si="53"/>
        <v>17</v>
      </c>
      <c r="K611" s="16">
        <f t="shared" si="54"/>
        <v>9</v>
      </c>
      <c r="L611" s="16">
        <f t="shared" si="55"/>
        <v>4</v>
      </c>
      <c r="M611" s="16">
        <f t="shared" si="56"/>
        <v>35</v>
      </c>
      <c r="N611" s="17" t="str">
        <f t="shared" si="57"/>
        <v>04.04.1790</v>
      </c>
    </row>
    <row r="612" spans="9:14" x14ac:dyDescent="0.25">
      <c r="I612" s="15">
        <v>1789</v>
      </c>
      <c r="J612" s="16">
        <f t="shared" si="53"/>
        <v>17</v>
      </c>
      <c r="K612" s="16">
        <f t="shared" si="54"/>
        <v>20</v>
      </c>
      <c r="L612" s="16">
        <f t="shared" si="55"/>
        <v>1</v>
      </c>
      <c r="M612" s="16">
        <f t="shared" si="56"/>
        <v>43</v>
      </c>
      <c r="N612" s="17" t="str">
        <f t="shared" si="57"/>
        <v>12.04.1789</v>
      </c>
    </row>
    <row r="613" spans="9:14" x14ac:dyDescent="0.25">
      <c r="I613" s="21">
        <v>1788</v>
      </c>
      <c r="J613" s="16">
        <f t="shared" si="53"/>
        <v>17</v>
      </c>
      <c r="K613" s="16">
        <f t="shared" si="54"/>
        <v>1</v>
      </c>
      <c r="L613" s="16">
        <f t="shared" si="55"/>
        <v>0</v>
      </c>
      <c r="M613" s="16">
        <f t="shared" si="56"/>
        <v>23</v>
      </c>
      <c r="N613" s="17" t="str">
        <f t="shared" si="57"/>
        <v>23.03.1788</v>
      </c>
    </row>
    <row r="614" spans="9:14" x14ac:dyDescent="0.25">
      <c r="I614" s="15">
        <v>1787</v>
      </c>
      <c r="J614" s="16">
        <f t="shared" ref="J614:J651" si="58">INT(I614/100)</f>
        <v>17</v>
      </c>
      <c r="K614" s="16">
        <f t="shared" ref="K614:K651" si="59">MOD(19*MOD(I614,19)+J614-INT(J614/4)-INT((J614-INT((J614+8)/25)+1)/3)+15,30)</f>
        <v>12</v>
      </c>
      <c r="L614" s="16">
        <f t="shared" ref="L614:L651" si="60">MOD(32+2*MOD(J614,4)+2*INT(MOD(I614,100)/4)-K614-MOD(MOD(I614,100),4),7)</f>
        <v>5</v>
      </c>
      <c r="M614" s="16">
        <f t="shared" ref="M614:M651" si="61">K614+L614-7*INT((MOD(I614,19)+11*K614+22*L614)/451)+22</f>
        <v>39</v>
      </c>
      <c r="N614" s="17" t="str">
        <f t="shared" ref="N614:N651" si="62">TEXT(IF(M614-31 &lt; 1,M614,M614-31),"0#")&amp;"."&amp;IF(M614 &gt; 31,"04.","03.")&amp;I614</f>
        <v>08.04.1787</v>
      </c>
    </row>
    <row r="615" spans="9:14" x14ac:dyDescent="0.25">
      <c r="I615" s="21">
        <v>1786</v>
      </c>
      <c r="J615" s="16">
        <f t="shared" si="58"/>
        <v>17</v>
      </c>
      <c r="K615" s="16">
        <f t="shared" si="59"/>
        <v>23</v>
      </c>
      <c r="L615" s="16">
        <f t="shared" si="60"/>
        <v>2</v>
      </c>
      <c r="M615" s="16">
        <f t="shared" si="61"/>
        <v>47</v>
      </c>
      <c r="N615" s="17" t="str">
        <f t="shared" si="62"/>
        <v>16.04.1786</v>
      </c>
    </row>
    <row r="616" spans="9:14" x14ac:dyDescent="0.25">
      <c r="I616" s="15">
        <v>1785</v>
      </c>
      <c r="J616" s="16">
        <f t="shared" si="58"/>
        <v>17</v>
      </c>
      <c r="K616" s="16">
        <f t="shared" si="59"/>
        <v>5</v>
      </c>
      <c r="L616" s="16">
        <f t="shared" si="60"/>
        <v>0</v>
      </c>
      <c r="M616" s="16">
        <f t="shared" si="61"/>
        <v>27</v>
      </c>
      <c r="N616" s="17" t="str">
        <f t="shared" si="62"/>
        <v>27.03.1785</v>
      </c>
    </row>
    <row r="617" spans="9:14" x14ac:dyDescent="0.25">
      <c r="I617" s="21">
        <v>1784</v>
      </c>
      <c r="J617" s="16">
        <f t="shared" si="58"/>
        <v>17</v>
      </c>
      <c r="K617" s="16">
        <f t="shared" si="59"/>
        <v>16</v>
      </c>
      <c r="L617" s="16">
        <f t="shared" si="60"/>
        <v>4</v>
      </c>
      <c r="M617" s="16">
        <f t="shared" si="61"/>
        <v>42</v>
      </c>
      <c r="N617" s="17" t="str">
        <f t="shared" si="62"/>
        <v>11.04.1784</v>
      </c>
    </row>
    <row r="618" spans="9:14" x14ac:dyDescent="0.25">
      <c r="I618" s="15">
        <v>1783</v>
      </c>
      <c r="J618" s="16">
        <f t="shared" si="58"/>
        <v>17</v>
      </c>
      <c r="K618" s="16">
        <f t="shared" si="59"/>
        <v>27</v>
      </c>
      <c r="L618" s="16">
        <f t="shared" si="60"/>
        <v>2</v>
      </c>
      <c r="M618" s="16">
        <f t="shared" si="61"/>
        <v>51</v>
      </c>
      <c r="N618" s="17" t="str">
        <f t="shared" si="62"/>
        <v>20.04.1783</v>
      </c>
    </row>
    <row r="619" spans="9:14" x14ac:dyDescent="0.25">
      <c r="I619" s="21">
        <v>1782</v>
      </c>
      <c r="J619" s="16">
        <f t="shared" si="58"/>
        <v>17</v>
      </c>
      <c r="K619" s="16">
        <f t="shared" si="59"/>
        <v>8</v>
      </c>
      <c r="L619" s="16">
        <f t="shared" si="60"/>
        <v>1</v>
      </c>
      <c r="M619" s="16">
        <f t="shared" si="61"/>
        <v>31</v>
      </c>
      <c r="N619" s="17" t="str">
        <f t="shared" si="62"/>
        <v>31.03.1782</v>
      </c>
    </row>
    <row r="620" spans="9:14" x14ac:dyDescent="0.25">
      <c r="I620" s="15">
        <v>1781</v>
      </c>
      <c r="J620" s="16">
        <f t="shared" si="58"/>
        <v>17</v>
      </c>
      <c r="K620" s="16">
        <f t="shared" si="59"/>
        <v>19</v>
      </c>
      <c r="L620" s="16">
        <f t="shared" si="60"/>
        <v>5</v>
      </c>
      <c r="M620" s="16">
        <f t="shared" si="61"/>
        <v>46</v>
      </c>
      <c r="N620" s="17" t="str">
        <f t="shared" si="62"/>
        <v>15.04.1781</v>
      </c>
    </row>
    <row r="621" spans="9:14" x14ac:dyDescent="0.25">
      <c r="I621" s="21">
        <v>1780</v>
      </c>
      <c r="J621" s="16">
        <f t="shared" si="58"/>
        <v>17</v>
      </c>
      <c r="K621" s="16">
        <f t="shared" si="59"/>
        <v>0</v>
      </c>
      <c r="L621" s="16">
        <f t="shared" si="60"/>
        <v>4</v>
      </c>
      <c r="M621" s="16">
        <f t="shared" si="61"/>
        <v>26</v>
      </c>
      <c r="N621" s="17" t="str">
        <f t="shared" si="62"/>
        <v>26.03.1780</v>
      </c>
    </row>
    <row r="622" spans="9:14" x14ac:dyDescent="0.25">
      <c r="I622" s="15">
        <v>1779</v>
      </c>
      <c r="J622" s="16">
        <f t="shared" si="58"/>
        <v>17</v>
      </c>
      <c r="K622" s="16">
        <f t="shared" si="59"/>
        <v>11</v>
      </c>
      <c r="L622" s="16">
        <f t="shared" si="60"/>
        <v>2</v>
      </c>
      <c r="M622" s="16">
        <f t="shared" si="61"/>
        <v>35</v>
      </c>
      <c r="N622" s="17" t="str">
        <f t="shared" si="62"/>
        <v>04.04.1779</v>
      </c>
    </row>
    <row r="623" spans="9:14" x14ac:dyDescent="0.25">
      <c r="I623" s="21">
        <v>1778</v>
      </c>
      <c r="J623" s="16">
        <f t="shared" si="58"/>
        <v>17</v>
      </c>
      <c r="K623" s="16">
        <f t="shared" si="59"/>
        <v>22</v>
      </c>
      <c r="L623" s="16">
        <f t="shared" si="60"/>
        <v>6</v>
      </c>
      <c r="M623" s="16">
        <f t="shared" si="61"/>
        <v>50</v>
      </c>
      <c r="N623" s="17" t="str">
        <f t="shared" si="62"/>
        <v>19.04.1778</v>
      </c>
    </row>
    <row r="624" spans="9:14" x14ac:dyDescent="0.25">
      <c r="I624" s="15">
        <v>1777</v>
      </c>
      <c r="J624" s="16">
        <f t="shared" si="58"/>
        <v>17</v>
      </c>
      <c r="K624" s="16">
        <f t="shared" si="59"/>
        <v>3</v>
      </c>
      <c r="L624" s="16">
        <f t="shared" si="60"/>
        <v>5</v>
      </c>
      <c r="M624" s="16">
        <f t="shared" si="61"/>
        <v>30</v>
      </c>
      <c r="N624" s="17" t="str">
        <f t="shared" si="62"/>
        <v>30.03.1777</v>
      </c>
    </row>
    <row r="625" spans="9:14" x14ac:dyDescent="0.25">
      <c r="I625" s="21">
        <v>1776</v>
      </c>
      <c r="J625" s="16">
        <f t="shared" si="58"/>
        <v>17</v>
      </c>
      <c r="K625" s="16">
        <f t="shared" si="59"/>
        <v>14</v>
      </c>
      <c r="L625" s="16">
        <f t="shared" si="60"/>
        <v>2</v>
      </c>
      <c r="M625" s="16">
        <f t="shared" si="61"/>
        <v>38</v>
      </c>
      <c r="N625" s="17" t="str">
        <f t="shared" si="62"/>
        <v>07.04.1776</v>
      </c>
    </row>
    <row r="626" spans="9:14" x14ac:dyDescent="0.25">
      <c r="I626" s="15">
        <v>1775</v>
      </c>
      <c r="J626" s="16">
        <f t="shared" si="58"/>
        <v>17</v>
      </c>
      <c r="K626" s="16">
        <f t="shared" si="59"/>
        <v>25</v>
      </c>
      <c r="L626" s="16">
        <f t="shared" si="60"/>
        <v>0</v>
      </c>
      <c r="M626" s="16">
        <f t="shared" si="61"/>
        <v>47</v>
      </c>
      <c r="N626" s="17" t="str">
        <f t="shared" si="62"/>
        <v>16.04.1775</v>
      </c>
    </row>
    <row r="627" spans="9:14" x14ac:dyDescent="0.25">
      <c r="I627" s="21">
        <v>1774</v>
      </c>
      <c r="J627" s="16">
        <f t="shared" si="58"/>
        <v>17</v>
      </c>
      <c r="K627" s="16">
        <f t="shared" si="59"/>
        <v>6</v>
      </c>
      <c r="L627" s="16">
        <f t="shared" si="60"/>
        <v>6</v>
      </c>
      <c r="M627" s="16">
        <f t="shared" si="61"/>
        <v>34</v>
      </c>
      <c r="N627" s="17" t="str">
        <f t="shared" si="62"/>
        <v>03.04.1774</v>
      </c>
    </row>
    <row r="628" spans="9:14" x14ac:dyDescent="0.25">
      <c r="I628" s="15">
        <v>1773</v>
      </c>
      <c r="J628" s="16">
        <f t="shared" si="58"/>
        <v>17</v>
      </c>
      <c r="K628" s="16">
        <f t="shared" si="59"/>
        <v>17</v>
      </c>
      <c r="L628" s="16">
        <f t="shared" si="60"/>
        <v>3</v>
      </c>
      <c r="M628" s="16">
        <f t="shared" si="61"/>
        <v>42</v>
      </c>
      <c r="N628" s="17" t="str">
        <f t="shared" si="62"/>
        <v>11.04.1773</v>
      </c>
    </row>
    <row r="629" spans="9:14" x14ac:dyDescent="0.25">
      <c r="I629" s="21">
        <v>1772</v>
      </c>
      <c r="J629" s="16">
        <f t="shared" si="58"/>
        <v>17</v>
      </c>
      <c r="K629" s="16">
        <f t="shared" si="59"/>
        <v>28</v>
      </c>
      <c r="L629" s="16">
        <f t="shared" si="60"/>
        <v>0</v>
      </c>
      <c r="M629" s="16">
        <f t="shared" si="61"/>
        <v>50</v>
      </c>
      <c r="N629" s="17" t="str">
        <f t="shared" si="62"/>
        <v>19.04.1772</v>
      </c>
    </row>
    <row r="630" spans="9:14" x14ac:dyDescent="0.25">
      <c r="I630" s="15">
        <v>1771</v>
      </c>
      <c r="J630" s="16">
        <f t="shared" si="58"/>
        <v>17</v>
      </c>
      <c r="K630" s="16">
        <f t="shared" si="59"/>
        <v>9</v>
      </c>
      <c r="L630" s="16">
        <f t="shared" si="60"/>
        <v>0</v>
      </c>
      <c r="M630" s="16">
        <f t="shared" si="61"/>
        <v>31</v>
      </c>
      <c r="N630" s="17" t="str">
        <f t="shared" si="62"/>
        <v>31.03.1771</v>
      </c>
    </row>
    <row r="631" spans="9:14" x14ac:dyDescent="0.25">
      <c r="I631" s="21">
        <v>1770</v>
      </c>
      <c r="J631" s="16">
        <f t="shared" si="58"/>
        <v>17</v>
      </c>
      <c r="K631" s="16">
        <f t="shared" si="59"/>
        <v>20</v>
      </c>
      <c r="L631" s="16">
        <f t="shared" si="60"/>
        <v>4</v>
      </c>
      <c r="M631" s="16">
        <f t="shared" si="61"/>
        <v>46</v>
      </c>
      <c r="N631" s="17" t="str">
        <f t="shared" si="62"/>
        <v>15.04.1770</v>
      </c>
    </row>
    <row r="632" spans="9:14" x14ac:dyDescent="0.25">
      <c r="I632" s="15">
        <v>1769</v>
      </c>
      <c r="J632" s="16">
        <f t="shared" si="58"/>
        <v>17</v>
      </c>
      <c r="K632" s="16">
        <f t="shared" si="59"/>
        <v>1</v>
      </c>
      <c r="L632" s="16">
        <f t="shared" si="60"/>
        <v>3</v>
      </c>
      <c r="M632" s="16">
        <f t="shared" si="61"/>
        <v>26</v>
      </c>
      <c r="N632" s="17" t="str">
        <f t="shared" si="62"/>
        <v>26.03.1769</v>
      </c>
    </row>
    <row r="633" spans="9:14" x14ac:dyDescent="0.25">
      <c r="I633" s="21">
        <v>1768</v>
      </c>
      <c r="J633" s="16">
        <f t="shared" si="58"/>
        <v>17</v>
      </c>
      <c r="K633" s="16">
        <f t="shared" si="59"/>
        <v>12</v>
      </c>
      <c r="L633" s="16">
        <f t="shared" si="60"/>
        <v>0</v>
      </c>
      <c r="M633" s="16">
        <f t="shared" si="61"/>
        <v>34</v>
      </c>
      <c r="N633" s="17" t="str">
        <f t="shared" si="62"/>
        <v>03.04.1768</v>
      </c>
    </row>
    <row r="634" spans="9:14" x14ac:dyDescent="0.25">
      <c r="I634" s="15">
        <v>1767</v>
      </c>
      <c r="J634" s="16">
        <f t="shared" si="58"/>
        <v>17</v>
      </c>
      <c r="K634" s="16">
        <f t="shared" si="59"/>
        <v>23</v>
      </c>
      <c r="L634" s="16">
        <f t="shared" si="60"/>
        <v>5</v>
      </c>
      <c r="M634" s="16">
        <f t="shared" si="61"/>
        <v>50</v>
      </c>
      <c r="N634" s="17" t="str">
        <f t="shared" si="62"/>
        <v>19.04.1767</v>
      </c>
    </row>
    <row r="635" spans="9:14" x14ac:dyDescent="0.25">
      <c r="I635" s="21">
        <v>1766</v>
      </c>
      <c r="J635" s="16">
        <f t="shared" si="58"/>
        <v>17</v>
      </c>
      <c r="K635" s="16">
        <f t="shared" si="59"/>
        <v>5</v>
      </c>
      <c r="L635" s="16">
        <f t="shared" si="60"/>
        <v>3</v>
      </c>
      <c r="M635" s="16">
        <f t="shared" si="61"/>
        <v>30</v>
      </c>
      <c r="N635" s="17" t="str">
        <f t="shared" si="62"/>
        <v>30.03.1766</v>
      </c>
    </row>
    <row r="636" spans="9:14" x14ac:dyDescent="0.25">
      <c r="I636" s="15">
        <v>1765</v>
      </c>
      <c r="J636" s="16">
        <f t="shared" si="58"/>
        <v>17</v>
      </c>
      <c r="K636" s="16">
        <f t="shared" si="59"/>
        <v>16</v>
      </c>
      <c r="L636" s="16">
        <f t="shared" si="60"/>
        <v>0</v>
      </c>
      <c r="M636" s="16">
        <f t="shared" si="61"/>
        <v>38</v>
      </c>
      <c r="N636" s="17" t="str">
        <f t="shared" si="62"/>
        <v>07.04.1765</v>
      </c>
    </row>
    <row r="637" spans="9:14" x14ac:dyDescent="0.25">
      <c r="I637" s="21">
        <v>1764</v>
      </c>
      <c r="J637" s="16">
        <f t="shared" si="58"/>
        <v>17</v>
      </c>
      <c r="K637" s="16">
        <f t="shared" si="59"/>
        <v>27</v>
      </c>
      <c r="L637" s="16">
        <f t="shared" si="60"/>
        <v>4</v>
      </c>
      <c r="M637" s="16">
        <f t="shared" si="61"/>
        <v>53</v>
      </c>
      <c r="N637" s="17" t="str">
        <f t="shared" si="62"/>
        <v>22.04.1764</v>
      </c>
    </row>
    <row r="638" spans="9:14" x14ac:dyDescent="0.25">
      <c r="I638" s="15">
        <v>1763</v>
      </c>
      <c r="J638" s="16">
        <f t="shared" si="58"/>
        <v>17</v>
      </c>
      <c r="K638" s="16">
        <f t="shared" si="59"/>
        <v>8</v>
      </c>
      <c r="L638" s="16">
        <f t="shared" si="60"/>
        <v>4</v>
      </c>
      <c r="M638" s="16">
        <f t="shared" si="61"/>
        <v>34</v>
      </c>
      <c r="N638" s="17" t="str">
        <f t="shared" si="62"/>
        <v>03.04.1763</v>
      </c>
    </row>
    <row r="639" spans="9:14" x14ac:dyDescent="0.25">
      <c r="I639" s="21">
        <v>1762</v>
      </c>
      <c r="J639" s="16">
        <f t="shared" si="58"/>
        <v>17</v>
      </c>
      <c r="K639" s="16">
        <f t="shared" si="59"/>
        <v>19</v>
      </c>
      <c r="L639" s="16">
        <f t="shared" si="60"/>
        <v>1</v>
      </c>
      <c r="M639" s="16">
        <f t="shared" si="61"/>
        <v>42</v>
      </c>
      <c r="N639" s="17" t="str">
        <f t="shared" si="62"/>
        <v>11.04.1762</v>
      </c>
    </row>
    <row r="640" spans="9:14" x14ac:dyDescent="0.25">
      <c r="I640" s="15">
        <v>1761</v>
      </c>
      <c r="J640" s="16">
        <f t="shared" si="58"/>
        <v>17</v>
      </c>
      <c r="K640" s="16">
        <f t="shared" si="59"/>
        <v>0</v>
      </c>
      <c r="L640" s="16">
        <f t="shared" si="60"/>
        <v>0</v>
      </c>
      <c r="M640" s="16">
        <f t="shared" si="61"/>
        <v>22</v>
      </c>
      <c r="N640" s="17" t="str">
        <f t="shared" si="62"/>
        <v>22.03.1761</v>
      </c>
    </row>
    <row r="641" spans="9:14" x14ac:dyDescent="0.25">
      <c r="I641" s="21">
        <v>1760</v>
      </c>
      <c r="J641" s="16">
        <f t="shared" si="58"/>
        <v>17</v>
      </c>
      <c r="K641" s="16">
        <f t="shared" si="59"/>
        <v>11</v>
      </c>
      <c r="L641" s="16">
        <f t="shared" si="60"/>
        <v>4</v>
      </c>
      <c r="M641" s="16">
        <f t="shared" si="61"/>
        <v>37</v>
      </c>
      <c r="N641" s="17" t="str">
        <f t="shared" si="62"/>
        <v>06.04.1760</v>
      </c>
    </row>
    <row r="642" spans="9:14" x14ac:dyDescent="0.25">
      <c r="I642" s="15">
        <v>1759</v>
      </c>
      <c r="J642" s="16">
        <f t="shared" si="58"/>
        <v>17</v>
      </c>
      <c r="K642" s="16">
        <f t="shared" si="59"/>
        <v>22</v>
      </c>
      <c r="L642" s="16">
        <f t="shared" si="60"/>
        <v>2</v>
      </c>
      <c r="M642" s="16">
        <f t="shared" si="61"/>
        <v>46</v>
      </c>
      <c r="N642" s="17" t="str">
        <f t="shared" si="62"/>
        <v>15.04.1759</v>
      </c>
    </row>
    <row r="643" spans="9:14" x14ac:dyDescent="0.25">
      <c r="I643" s="21">
        <v>1758</v>
      </c>
      <c r="J643" s="16">
        <f t="shared" si="58"/>
        <v>17</v>
      </c>
      <c r="K643" s="16">
        <f t="shared" si="59"/>
        <v>3</v>
      </c>
      <c r="L643" s="16">
        <f t="shared" si="60"/>
        <v>1</v>
      </c>
      <c r="M643" s="16">
        <f t="shared" si="61"/>
        <v>26</v>
      </c>
      <c r="N643" s="17" t="str">
        <f t="shared" si="62"/>
        <v>26.03.1758</v>
      </c>
    </row>
    <row r="644" spans="9:14" x14ac:dyDescent="0.25">
      <c r="I644" s="15">
        <v>1757</v>
      </c>
      <c r="J644" s="16">
        <f t="shared" si="58"/>
        <v>17</v>
      </c>
      <c r="K644" s="16">
        <f t="shared" si="59"/>
        <v>14</v>
      </c>
      <c r="L644" s="16">
        <f t="shared" si="60"/>
        <v>5</v>
      </c>
      <c r="M644" s="16">
        <f t="shared" si="61"/>
        <v>41</v>
      </c>
      <c r="N644" s="17" t="str">
        <f t="shared" si="62"/>
        <v>10.04.1757</v>
      </c>
    </row>
    <row r="645" spans="9:14" x14ac:dyDescent="0.25">
      <c r="I645" s="15">
        <v>1756</v>
      </c>
      <c r="J645" s="16">
        <f t="shared" si="58"/>
        <v>17</v>
      </c>
      <c r="K645" s="16">
        <f t="shared" si="59"/>
        <v>25</v>
      </c>
      <c r="L645" s="16">
        <f t="shared" si="60"/>
        <v>2</v>
      </c>
      <c r="M645" s="16">
        <f t="shared" si="61"/>
        <v>49</v>
      </c>
      <c r="N645" s="17" t="str">
        <f t="shared" si="62"/>
        <v>18.04.1756</v>
      </c>
    </row>
    <row r="646" spans="9:14" x14ac:dyDescent="0.25">
      <c r="I646" s="21">
        <v>1755</v>
      </c>
      <c r="J646" s="16">
        <f t="shared" si="58"/>
        <v>17</v>
      </c>
      <c r="K646" s="16">
        <f t="shared" si="59"/>
        <v>6</v>
      </c>
      <c r="L646" s="16">
        <f t="shared" si="60"/>
        <v>2</v>
      </c>
      <c r="M646" s="16">
        <f t="shared" si="61"/>
        <v>30</v>
      </c>
      <c r="N646" s="17" t="str">
        <f t="shared" si="62"/>
        <v>30.03.1755</v>
      </c>
    </row>
    <row r="647" spans="9:14" x14ac:dyDescent="0.25">
      <c r="I647" s="15">
        <v>1754</v>
      </c>
      <c r="J647" s="16">
        <f t="shared" si="58"/>
        <v>17</v>
      </c>
      <c r="K647" s="16">
        <f t="shared" si="59"/>
        <v>17</v>
      </c>
      <c r="L647" s="16">
        <f t="shared" si="60"/>
        <v>6</v>
      </c>
      <c r="M647" s="16">
        <f t="shared" si="61"/>
        <v>45</v>
      </c>
      <c r="N647" s="17" t="str">
        <f t="shared" si="62"/>
        <v>14.04.1754</v>
      </c>
    </row>
    <row r="648" spans="9:14" x14ac:dyDescent="0.25">
      <c r="I648" s="21">
        <v>1753</v>
      </c>
      <c r="J648" s="16">
        <f t="shared" si="58"/>
        <v>17</v>
      </c>
      <c r="K648" s="16">
        <f t="shared" si="59"/>
        <v>28</v>
      </c>
      <c r="L648" s="16">
        <f t="shared" si="60"/>
        <v>3</v>
      </c>
      <c r="M648" s="16">
        <f t="shared" si="61"/>
        <v>53</v>
      </c>
      <c r="N648" s="17" t="str">
        <f t="shared" si="62"/>
        <v>22.04.1753</v>
      </c>
    </row>
    <row r="649" spans="9:14" x14ac:dyDescent="0.25">
      <c r="I649" s="15">
        <v>1752</v>
      </c>
      <c r="J649" s="16">
        <f t="shared" si="58"/>
        <v>17</v>
      </c>
      <c r="K649" s="16">
        <f t="shared" si="59"/>
        <v>9</v>
      </c>
      <c r="L649" s="16">
        <f t="shared" si="60"/>
        <v>2</v>
      </c>
      <c r="M649" s="16">
        <f t="shared" si="61"/>
        <v>33</v>
      </c>
      <c r="N649" s="17" t="str">
        <f t="shared" si="62"/>
        <v>02.04.1752</v>
      </c>
    </row>
    <row r="650" spans="9:14" x14ac:dyDescent="0.25">
      <c r="I650" s="21">
        <v>1751</v>
      </c>
      <c r="J650" s="16">
        <f t="shared" si="58"/>
        <v>17</v>
      </c>
      <c r="K650" s="16">
        <f t="shared" si="59"/>
        <v>20</v>
      </c>
      <c r="L650" s="16">
        <f t="shared" si="60"/>
        <v>0</v>
      </c>
      <c r="M650" s="16">
        <f t="shared" si="61"/>
        <v>42</v>
      </c>
      <c r="N650" s="17" t="str">
        <f t="shared" si="62"/>
        <v>11.04.1751</v>
      </c>
    </row>
    <row r="651" spans="9:14" x14ac:dyDescent="0.25">
      <c r="I651" s="15">
        <v>1750</v>
      </c>
      <c r="J651" s="16">
        <f t="shared" si="58"/>
        <v>17</v>
      </c>
      <c r="K651" s="16">
        <f t="shared" si="59"/>
        <v>1</v>
      </c>
      <c r="L651" s="16">
        <f t="shared" si="60"/>
        <v>6</v>
      </c>
      <c r="M651" s="16">
        <f t="shared" si="61"/>
        <v>29</v>
      </c>
      <c r="N651" s="17" t="str">
        <f t="shared" si="62"/>
        <v>29.03.1750</v>
      </c>
    </row>
    <row r="652" spans="9:14" x14ac:dyDescent="0.25">
      <c r="I652" s="21"/>
      <c r="J652" s="16"/>
      <c r="K652" s="16"/>
      <c r="L652" s="16"/>
      <c r="M652" s="16"/>
      <c r="N652" s="17"/>
    </row>
    <row r="653" spans="9:14" x14ac:dyDescent="0.25">
      <c r="I653" s="15"/>
      <c r="J653" s="16"/>
      <c r="K653" s="16"/>
      <c r="L653" s="16"/>
      <c r="M653" s="16"/>
      <c r="N653" s="17"/>
    </row>
    <row r="654" spans="9:14" x14ac:dyDescent="0.25">
      <c r="I654" s="34"/>
      <c r="M654" s="35"/>
    </row>
  </sheetData>
  <conditionalFormatting sqref="V3">
    <cfRule type="expression" dxfId="28" priority="4" stopIfTrue="1">
      <formula>ISNUMBER(FIND(" - ",V3))</formula>
    </cfRule>
  </conditionalFormatting>
  <conditionalFormatting sqref="Q3:Q43">
    <cfRule type="expression" dxfId="27" priority="5" stopIfTrue="1">
      <formula>Q3="nächster"</formula>
    </cfRule>
  </conditionalFormatting>
  <conditionalFormatting sqref="S3:S59">
    <cfRule type="expression" dxfId="26" priority="3" stopIfTrue="1">
      <formula>S3="nächster"</formula>
    </cfRule>
  </conditionalFormatting>
  <conditionalFormatting sqref="V9">
    <cfRule type="expression" dxfId="25" priority="2" stopIfTrue="1">
      <formula>ISNUMBER(FIND(" - ",V9))</formula>
    </cfRule>
  </conditionalFormatting>
  <conditionalFormatting sqref="W9:X9">
    <cfRule type="expression" dxfId="24" priority="1" stopIfTrue="1">
      <formula>ISNUMBER(FIND(" - ",W9))</formula>
    </cfRule>
  </conditionalFormatting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AC58"/>
  <sheetViews>
    <sheetView tabSelected="1" zoomScaleNormal="100" workbookViewId="0">
      <selection activeCell="G19" sqref="G19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.140625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42578125" style="1" customWidth="1"/>
    <col min="22" max="23" width="11.42578125" style="1"/>
    <col min="24" max="24" width="4.42578125" style="1" bestFit="1" customWidth="1"/>
    <col min="25" max="25" width="55.7109375" style="1" bestFit="1" customWidth="1"/>
    <col min="26" max="16384" width="11.42578125" style="1"/>
  </cols>
  <sheetData>
    <row r="1" spans="1:29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265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01"/>
      <c r="Y1" s="102" t="s">
        <v>78</v>
      </c>
      <c r="Z1" s="102"/>
      <c r="AA1" s="102"/>
      <c r="AB1" s="102"/>
      <c r="AC1" s="102"/>
    </row>
    <row r="2" spans="1:29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265" t="str">
        <f>IF(Uebersicht!AX3&gt;0,0,"")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161" t="s">
        <v>10</v>
      </c>
      <c r="W2" s="161" t="s">
        <v>51</v>
      </c>
      <c r="X2" s="40"/>
      <c r="Y2" s="264"/>
    </row>
    <row r="3" spans="1:29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265" t="str">
        <f>IF(Uebersicht!AY3&gt;0,32,"")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81" t="str">
        <f>IF($K$7=0,"",IF($X$1="nein",0,IF(AND(W3="",Uebersicht!B36=""),0,IF(Uebersicht!B36&gt;0,Uebersicht!B36,W3))))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9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46">
        <f>Uebersicht!F5</f>
        <v>0</v>
      </c>
      <c r="L4" s="265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81" t="str">
        <f>IF($K$7=0,"",IF($X$1="nein",0,IF(AND(W4="",Uebersicht!B37=""),0,IF(Uebersicht!B37&gt;0,Uebersicht!B37,W4))))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9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265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81" t="str">
        <f>IF($K$7=0,"",IF($X$1="nein",0,IF(AND(W5="",Uebersicht!B38=""),0,IF(Uebersicht!B38&gt;0,Uebersicht!B38,W5))))</f>
        <v/>
      </c>
      <c r="Y5" s="188">
        <f t="shared" si="0"/>
        <v>1</v>
      </c>
    </row>
    <row r="6" spans="1:29" ht="12.75" customHeight="1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265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81" t="str">
        <f>IF($K$7=0,"",IF($X$1="nein",0,IF(AND(W6="",Uebersicht!B39=""),0,IF(Uebersicht!B39&gt;0,Uebersicht!B39,W6))))</f>
        <v/>
      </c>
      <c r="Y6" s="188">
        <f t="shared" si="0"/>
        <v>1</v>
      </c>
    </row>
    <row r="7" spans="1:29" ht="12.75" customHeight="1" x14ac:dyDescent="0.25">
      <c r="A7" s="286" t="s">
        <v>9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1</v>
      </c>
      <c r="F7" s="268"/>
      <c r="G7" s="48">
        <f>Uebersicht!D5</f>
        <v>2017</v>
      </c>
      <c r="H7" s="45"/>
      <c r="I7" s="292">
        <f>IF(Q42/60&gt;0,Q42/60,0)</f>
        <v>0</v>
      </c>
      <c r="J7" s="293"/>
      <c r="K7" s="259">
        <f>Uebersicht!AP5</f>
        <v>0</v>
      </c>
      <c r="L7" s="265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81" t="str">
        <f>IF($K$7=0,"",IF($X$1="nein",0,IF(AND(W7="",Uebersicht!B40=""),0,IF(Uebersicht!B40&gt;0,Uebersicht!B40,W7))))</f>
        <v/>
      </c>
      <c r="Y7" s="188">
        <f t="shared" si="0"/>
        <v>1</v>
      </c>
    </row>
    <row r="8" spans="1:29" ht="12.75" customHeight="1" x14ac:dyDescent="0.25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59" t="str">
        <f>IF(Uebersicht!AP6=K7,"",Uebersicht!AP6)</f>
        <v/>
      </c>
      <c r="L8" s="265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9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40"/>
      <c r="Y9" s="188"/>
    </row>
    <row r="10" spans="1:29" s="78" customFormat="1" ht="25.5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IF(Uebersicht!D8="",0,Uebersicht!D8*60)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9" x14ac:dyDescent="0.2">
      <c r="A11" s="193">
        <v>1</v>
      </c>
      <c r="B11" s="194">
        <f>$E$7</f>
        <v>1</v>
      </c>
      <c r="C11" s="194">
        <f>$G$7</f>
        <v>2017</v>
      </c>
      <c r="D11" s="195" t="str">
        <f>TEXT(DATE($G$7,$E$7,A11),"TTTT")</f>
        <v>Sonntag</v>
      </c>
      <c r="E11" s="196">
        <f>IF(ISNA(INDEX(X!$W$7:$W$20,MATCH(DATE($G$7,$E$7,A11),X!$AC$7:$AC$20,0))),"X",1)</f>
        <v>1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2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 t="shared" ref="M11:M28" si="2">IF(P11&lt;0,P11+IF(L11="",0,L11),L11)</f>
        <v/>
      </c>
      <c r="N11" s="127">
        <f>((HOUR(H11)*60+MINUTE(H11))/24)-((HOUR(G11)*60+MINUTE(G11))/24)</f>
        <v>0</v>
      </c>
      <c r="O11" s="128" t="str">
        <f t="shared" ref="O11:O16" si="3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4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 t="shared" ref="R11:R27" si="5">IF(AND(F11=4,$L$8=""),SUM($X$3:$X$7,$V$3:$V$7,D11),IF(AND(F11=4,$L$8=15,A11&lt;15),SUMIFS($X$3:$X$7,$V$3:$V$7,D11),IF(AND(F11=4,$L$8=15,A11&gt;14),SUMIFS($X$12:$X$16,$V$12:$V$16,D11),IF(AND(F11=3,$L$8=15,A11&gt;15),$K$8/5,IF(AND(F11=3,$L$8=15,A11&lt;15),$K$7/5,IF(AND(F11=3,$L$8=""),$K$7/5,0))))))</f>
        <v>0</v>
      </c>
      <c r="S11" s="244"/>
      <c r="T11" s="235" t="str">
        <f t="shared" ref="T11:T13" si="6">IF(S11="","",(L11-(S11*60))/60)</f>
        <v/>
      </c>
      <c r="U11" s="40"/>
      <c r="V11" s="40" t="s">
        <v>10</v>
      </c>
      <c r="W11" s="40" t="s">
        <v>51</v>
      </c>
      <c r="X11" s="40"/>
      <c r="Y11" s="188"/>
    </row>
    <row r="12" spans="1:29" x14ac:dyDescent="0.2">
      <c r="A12" s="199">
        <v>2</v>
      </c>
      <c r="B12" s="98">
        <f t="shared" ref="B12:B41" si="7">$E$7</f>
        <v>1</v>
      </c>
      <c r="C12" s="98">
        <f t="shared" ref="C12:C41" si="8">$G$7</f>
        <v>2017</v>
      </c>
      <c r="D12" s="200" t="str">
        <f t="shared" ref="D12:D40" si="9">TEXT(DATE($G$7,$E$7,A12),"TTTT")</f>
        <v>Montag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10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si="2"/>
        <v/>
      </c>
      <c r="N12" s="131">
        <f>((HOUR(H12)*60+MINUTE(H12))/24)-((HOUR(G12)*60+MINUTE(G12))/24)</f>
        <v>0</v>
      </c>
      <c r="O12" s="132" t="str">
        <f t="shared" si="3"/>
        <v/>
      </c>
      <c r="P12" s="133">
        <f t="shared" ref="P12:P34" si="11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4"/>
        <v>0</v>
      </c>
      <c r="R12" s="133">
        <f t="shared" si="5"/>
        <v>0</v>
      </c>
      <c r="S12" s="245"/>
      <c r="T12" s="236" t="str">
        <f t="shared" si="6"/>
        <v/>
      </c>
      <c r="U12" s="40"/>
      <c r="V12" s="40" t="s">
        <v>71</v>
      </c>
      <c r="W12" s="85"/>
      <c r="X12" s="81" t="str">
        <f>IF($K$7=0,"",IF($X$1="nein",0,W12))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9" x14ac:dyDescent="0.2">
      <c r="A13" s="199">
        <v>3</v>
      </c>
      <c r="B13" s="98">
        <f t="shared" si="7"/>
        <v>1</v>
      </c>
      <c r="C13" s="98">
        <f t="shared" si="8"/>
        <v>2017</v>
      </c>
      <c r="D13" s="200" t="str">
        <f t="shared" si="9"/>
        <v>Dienstag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10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2"/>
        <v/>
      </c>
      <c r="N13" s="131">
        <f t="shared" ref="N13:N14" si="13">((HOUR(H13)*60+MINUTE(H13))/24)-((HOUR(G13)*60+MINUTE(G13))/24)</f>
        <v>0</v>
      </c>
      <c r="O13" s="132" t="str">
        <f t="shared" si="3"/>
        <v/>
      </c>
      <c r="P13" s="133">
        <f t="shared" si="11"/>
        <v>0</v>
      </c>
      <c r="Q13" s="133">
        <f t="shared" si="4"/>
        <v>0</v>
      </c>
      <c r="R13" s="133">
        <f t="shared" si="5"/>
        <v>0</v>
      </c>
      <c r="S13" s="245"/>
      <c r="T13" s="236" t="str">
        <f t="shared" si="6"/>
        <v/>
      </c>
      <c r="U13" s="40"/>
      <c r="V13" s="40" t="s">
        <v>72</v>
      </c>
      <c r="W13" s="88"/>
      <c r="X13" s="81" t="str">
        <f t="shared" ref="X13:X16" si="14">IF($K$7=0,"",IF($X$1="nein",0,W13))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9" x14ac:dyDescent="0.2">
      <c r="A14" s="199">
        <v>4</v>
      </c>
      <c r="B14" s="98">
        <f t="shared" si="7"/>
        <v>1</v>
      </c>
      <c r="C14" s="98">
        <f t="shared" si="8"/>
        <v>2017</v>
      </c>
      <c r="D14" s="200" t="str">
        <f t="shared" si="9"/>
        <v>Mittwoch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10"/>
        <v/>
      </c>
      <c r="K14" s="215"/>
      <c r="L14" s="192" t="str">
        <f t="shared" si="12"/>
        <v/>
      </c>
      <c r="M14" s="130" t="str">
        <f t="shared" si="2"/>
        <v/>
      </c>
      <c r="N14" s="131">
        <f t="shared" si="13"/>
        <v>0</v>
      </c>
      <c r="O14" s="132" t="str">
        <f t="shared" si="3"/>
        <v/>
      </c>
      <c r="P14" s="133">
        <f t="shared" si="11"/>
        <v>0</v>
      </c>
      <c r="Q14" s="133">
        <f t="shared" si="4"/>
        <v>0</v>
      </c>
      <c r="R14" s="133">
        <f t="shared" si="5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 t="shared" si="14"/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9" x14ac:dyDescent="0.2">
      <c r="A15" s="199">
        <v>5</v>
      </c>
      <c r="B15" s="98">
        <f t="shared" si="7"/>
        <v>1</v>
      </c>
      <c r="C15" s="98">
        <f t="shared" si="8"/>
        <v>2017</v>
      </c>
      <c r="D15" s="200" t="str">
        <f t="shared" si="9"/>
        <v>Donnerstag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10"/>
        <v/>
      </c>
      <c r="K15" s="215"/>
      <c r="L15" s="192" t="str">
        <f t="shared" si="12"/>
        <v/>
      </c>
      <c r="M15" s="130" t="str">
        <f t="shared" si="2"/>
        <v/>
      </c>
      <c r="N15" s="131">
        <f>((HOUR(H15)*60+MINUTE(H15))/24)-((HOUR(G15)*60+MINUTE(G15))/24)</f>
        <v>0</v>
      </c>
      <c r="O15" s="132" t="str">
        <f t="shared" si="3"/>
        <v/>
      </c>
      <c r="P15" s="133">
        <f t="shared" si="11"/>
        <v>0</v>
      </c>
      <c r="Q15" s="133">
        <f t="shared" si="4"/>
        <v>0</v>
      </c>
      <c r="R15" s="133">
        <f t="shared" si="5"/>
        <v>0</v>
      </c>
      <c r="S15" s="245"/>
      <c r="T15" s="236" t="str">
        <f t="shared" ref="T15:T41" si="15">IF(S15="","",(L15-(S15*60))/60)</f>
        <v/>
      </c>
      <c r="U15" s="40"/>
      <c r="V15" s="40" t="s">
        <v>74</v>
      </c>
      <c r="W15" s="88"/>
      <c r="X15" s="81" t="str">
        <f t="shared" si="14"/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9" x14ac:dyDescent="0.2">
      <c r="A16" s="199">
        <v>6</v>
      </c>
      <c r="B16" s="98">
        <f t="shared" si="7"/>
        <v>1</v>
      </c>
      <c r="C16" s="98">
        <f t="shared" si="8"/>
        <v>2017</v>
      </c>
      <c r="D16" s="200" t="str">
        <f t="shared" si="9"/>
        <v>Freitag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10"/>
        <v/>
      </c>
      <c r="K16" s="215"/>
      <c r="L16" s="192" t="str">
        <f t="shared" si="12"/>
        <v/>
      </c>
      <c r="M16" s="130" t="str">
        <f t="shared" si="2"/>
        <v/>
      </c>
      <c r="N16" s="131">
        <f t="shared" ref="N16:N41" si="16">((HOUR(H16)*60+MINUTE(H16))/24)-((HOUR(G16)*60+MINUTE(G16))/24)</f>
        <v>0</v>
      </c>
      <c r="O16" s="132" t="str">
        <f t="shared" si="3"/>
        <v/>
      </c>
      <c r="P16" s="133">
        <f t="shared" si="11"/>
        <v>0</v>
      </c>
      <c r="Q16" s="133">
        <f t="shared" si="4"/>
        <v>0</v>
      </c>
      <c r="R16" s="133">
        <f t="shared" si="5"/>
        <v>0</v>
      </c>
      <c r="S16" s="245"/>
      <c r="T16" s="236" t="str">
        <f t="shared" si="15"/>
        <v/>
      </c>
      <c r="U16" s="40"/>
      <c r="V16" s="40" t="s">
        <v>75</v>
      </c>
      <c r="W16" s="88"/>
      <c r="X16" s="81" t="str">
        <f t="shared" si="14"/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7"/>
        <v>1</v>
      </c>
      <c r="C17" s="98">
        <f t="shared" si="8"/>
        <v>2017</v>
      </c>
      <c r="D17" s="200" t="str">
        <f t="shared" si="9"/>
        <v>Samstag</v>
      </c>
      <c r="E17" s="201" t="str">
        <f>IF(ISNA(INDEX(X!$W$7:$W$20,MATCH(DATE($G$7,$E$7,A17),X!$AC$7:$AC$20,0))),"X",1)</f>
        <v>X</v>
      </c>
      <c r="F17" s="202">
        <f t="shared" si="1"/>
        <v>2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10"/>
        <v/>
      </c>
      <c r="K17" s="215"/>
      <c r="L17" s="192" t="str">
        <f t="shared" si="12"/>
        <v/>
      </c>
      <c r="M17" s="130" t="str">
        <f t="shared" si="2"/>
        <v/>
      </c>
      <c r="N17" s="131">
        <f t="shared" si="16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1"/>
        <v>0</v>
      </c>
      <c r="Q17" s="133">
        <f t="shared" si="4"/>
        <v>0</v>
      </c>
      <c r="R17" s="133">
        <f t="shared" si="5"/>
        <v>0</v>
      </c>
      <c r="S17" s="245"/>
      <c r="T17" s="236" t="str">
        <f t="shared" si="15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7"/>
        <v>1</v>
      </c>
      <c r="C18" s="98">
        <f t="shared" si="8"/>
        <v>2017</v>
      </c>
      <c r="D18" s="200" t="str">
        <f t="shared" si="9"/>
        <v>Sonntag</v>
      </c>
      <c r="E18" s="201" t="str">
        <f>IF(ISNA(INDEX(X!$W$7:$W$20,MATCH(DATE($G$7,$E$7,A18),X!$AC$7:$AC$20,0))),"X",1)</f>
        <v>X</v>
      </c>
      <c r="F18" s="202">
        <f t="shared" si="1"/>
        <v>2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10"/>
        <v/>
      </c>
      <c r="K18" s="215"/>
      <c r="L18" s="192" t="str">
        <f t="shared" si="12"/>
        <v/>
      </c>
      <c r="M18" s="130" t="str">
        <f t="shared" si="2"/>
        <v/>
      </c>
      <c r="N18" s="131">
        <f t="shared" si="16"/>
        <v>0</v>
      </c>
      <c r="O18" s="132" t="str">
        <f t="shared" ref="O18:O41" si="17">IF(N18=0,IF(M18="","",IF((M18/60)&lt;0,TEXT(-((M18/60)/24),"-[h]:mm"),IF((M18/60)&gt;24,TEXT((((M18/60)-24)/24)+(24/24),"[hh]:mm"),M17/60))),IF(N18&gt;15,(N18-(30/24))/60,N18/60))</f>
        <v/>
      </c>
      <c r="P18" s="133">
        <f t="shared" si="11"/>
        <v>0</v>
      </c>
      <c r="Q18" s="133">
        <f t="shared" si="4"/>
        <v>0</v>
      </c>
      <c r="R18" s="133">
        <f t="shared" si="5"/>
        <v>0</v>
      </c>
      <c r="S18" s="245"/>
      <c r="T18" s="236" t="str">
        <f t="shared" si="15"/>
        <v/>
      </c>
      <c r="U18" s="40"/>
      <c r="V18" s="40"/>
      <c r="W18" s="40"/>
      <c r="X18" s="40"/>
      <c r="Y18" s="188"/>
    </row>
    <row r="19" spans="1:25" x14ac:dyDescent="0.2">
      <c r="A19" s="199">
        <v>9</v>
      </c>
      <c r="B19" s="98">
        <f t="shared" si="7"/>
        <v>1</v>
      </c>
      <c r="C19" s="98">
        <f t="shared" si="8"/>
        <v>2017</v>
      </c>
      <c r="D19" s="200" t="str">
        <f t="shared" si="9"/>
        <v>Montag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10"/>
        <v/>
      </c>
      <c r="K19" s="215"/>
      <c r="L19" s="192" t="str">
        <f t="shared" si="12"/>
        <v/>
      </c>
      <c r="M19" s="130" t="str">
        <f t="shared" si="2"/>
        <v/>
      </c>
      <c r="N19" s="131">
        <f t="shared" si="16"/>
        <v>0</v>
      </c>
      <c r="O19" s="132" t="str">
        <f t="shared" si="17"/>
        <v/>
      </c>
      <c r="P19" s="133">
        <f t="shared" si="11"/>
        <v>0</v>
      </c>
      <c r="Q19" s="133">
        <f t="shared" si="4"/>
        <v>0</v>
      </c>
      <c r="R19" s="133">
        <f t="shared" si="5"/>
        <v>0</v>
      </c>
      <c r="S19" s="245"/>
      <c r="T19" s="236" t="str">
        <f t="shared" si="15"/>
        <v/>
      </c>
      <c r="U19" s="40"/>
      <c r="V19" s="40"/>
      <c r="W19" s="40"/>
      <c r="X19" s="40"/>
      <c r="Y19" s="264"/>
    </row>
    <row r="20" spans="1:25" x14ac:dyDescent="0.2">
      <c r="A20" s="199">
        <v>10</v>
      </c>
      <c r="B20" s="98">
        <f t="shared" si="7"/>
        <v>1</v>
      </c>
      <c r="C20" s="98">
        <f t="shared" si="8"/>
        <v>2017</v>
      </c>
      <c r="D20" s="200" t="str">
        <f t="shared" si="9"/>
        <v>Dienstag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10"/>
        <v/>
      </c>
      <c r="K20" s="215"/>
      <c r="L20" s="192" t="str">
        <f t="shared" si="12"/>
        <v/>
      </c>
      <c r="M20" s="130" t="str">
        <f t="shared" si="2"/>
        <v/>
      </c>
      <c r="N20" s="131">
        <f t="shared" si="16"/>
        <v>0</v>
      </c>
      <c r="O20" s="132" t="str">
        <f t="shared" si="17"/>
        <v/>
      </c>
      <c r="P20" s="133">
        <f t="shared" si="11"/>
        <v>0</v>
      </c>
      <c r="Q20" s="133">
        <f t="shared" si="4"/>
        <v>0</v>
      </c>
      <c r="R20" s="133">
        <f t="shared" si="5"/>
        <v>0</v>
      </c>
      <c r="S20" s="245"/>
      <c r="T20" s="236" t="str">
        <f t="shared" si="15"/>
        <v/>
      </c>
      <c r="U20" s="40"/>
      <c r="V20" s="40"/>
      <c r="W20" s="40"/>
      <c r="X20" s="40"/>
      <c r="Y20" s="264"/>
    </row>
    <row r="21" spans="1:25" x14ac:dyDescent="0.2">
      <c r="A21" s="199">
        <v>11</v>
      </c>
      <c r="B21" s="98">
        <f t="shared" si="7"/>
        <v>1</v>
      </c>
      <c r="C21" s="98">
        <f t="shared" si="8"/>
        <v>2017</v>
      </c>
      <c r="D21" s="200" t="str">
        <f t="shared" si="9"/>
        <v>Mittwoch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3"/>
      <c r="H21" s="211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10"/>
        <v/>
      </c>
      <c r="K21" s="215"/>
      <c r="L21" s="192" t="str">
        <f t="shared" si="12"/>
        <v/>
      </c>
      <c r="M21" s="130" t="str">
        <f t="shared" si="2"/>
        <v/>
      </c>
      <c r="N21" s="131">
        <f t="shared" si="16"/>
        <v>0</v>
      </c>
      <c r="O21" s="132" t="str">
        <f t="shared" si="17"/>
        <v/>
      </c>
      <c r="P21" s="133">
        <f t="shared" si="11"/>
        <v>0</v>
      </c>
      <c r="Q21" s="133">
        <f t="shared" si="4"/>
        <v>0</v>
      </c>
      <c r="R21" s="133">
        <f t="shared" si="5"/>
        <v>0</v>
      </c>
      <c r="S21" s="245"/>
      <c r="T21" s="236" t="str">
        <f t="shared" si="15"/>
        <v/>
      </c>
      <c r="U21" s="40"/>
      <c r="V21" s="40"/>
      <c r="W21" s="40"/>
      <c r="X21" s="40"/>
      <c r="Y21" s="264"/>
    </row>
    <row r="22" spans="1:25" x14ac:dyDescent="0.2">
      <c r="A22" s="199">
        <v>12</v>
      </c>
      <c r="B22" s="98">
        <f t="shared" si="7"/>
        <v>1</v>
      </c>
      <c r="C22" s="98">
        <f t="shared" si="8"/>
        <v>2017</v>
      </c>
      <c r="D22" s="200" t="str">
        <f t="shared" si="9"/>
        <v>Donnerstag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10"/>
        <v/>
      </c>
      <c r="K22" s="215"/>
      <c r="L22" s="192" t="str">
        <f t="shared" si="12"/>
        <v/>
      </c>
      <c r="M22" s="130" t="str">
        <f t="shared" si="2"/>
        <v/>
      </c>
      <c r="N22" s="131">
        <f t="shared" si="16"/>
        <v>0</v>
      </c>
      <c r="O22" s="132" t="str">
        <f t="shared" si="17"/>
        <v/>
      </c>
      <c r="P22" s="133">
        <f t="shared" si="11"/>
        <v>0</v>
      </c>
      <c r="Q22" s="133">
        <f t="shared" si="4"/>
        <v>0</v>
      </c>
      <c r="R22" s="133">
        <f t="shared" si="5"/>
        <v>0</v>
      </c>
      <c r="S22" s="245"/>
      <c r="T22" s="236" t="str">
        <f t="shared" si="15"/>
        <v/>
      </c>
      <c r="U22" s="40"/>
      <c r="V22" s="40"/>
      <c r="W22" s="40"/>
      <c r="X22" s="40"/>
      <c r="Y22" s="264"/>
    </row>
    <row r="23" spans="1:25" x14ac:dyDescent="0.2">
      <c r="A23" s="199">
        <v>13</v>
      </c>
      <c r="B23" s="98">
        <f t="shared" si="7"/>
        <v>1</v>
      </c>
      <c r="C23" s="98">
        <f t="shared" si="8"/>
        <v>2017</v>
      </c>
      <c r="D23" s="200" t="str">
        <f t="shared" si="9"/>
        <v>Freitag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10"/>
        <v/>
      </c>
      <c r="K23" s="215"/>
      <c r="L23" s="192" t="str">
        <f t="shared" si="12"/>
        <v/>
      </c>
      <c r="M23" s="130" t="str">
        <f t="shared" si="2"/>
        <v/>
      </c>
      <c r="N23" s="131">
        <f t="shared" si="16"/>
        <v>0</v>
      </c>
      <c r="O23" s="132" t="str">
        <f t="shared" si="17"/>
        <v/>
      </c>
      <c r="P23" s="133">
        <f t="shared" si="11"/>
        <v>0</v>
      </c>
      <c r="Q23" s="133">
        <f t="shared" si="4"/>
        <v>0</v>
      </c>
      <c r="R23" s="133">
        <f t="shared" si="5"/>
        <v>0</v>
      </c>
      <c r="S23" s="245"/>
      <c r="T23" s="236" t="str">
        <f t="shared" si="15"/>
        <v/>
      </c>
      <c r="U23" s="40"/>
      <c r="V23" s="40"/>
      <c r="W23" s="40"/>
      <c r="X23" s="40"/>
      <c r="Y23" s="264"/>
    </row>
    <row r="24" spans="1:25" ht="13.5" thickBot="1" x14ac:dyDescent="0.25">
      <c r="A24" s="199">
        <v>14</v>
      </c>
      <c r="B24" s="98">
        <f t="shared" si="7"/>
        <v>1</v>
      </c>
      <c r="C24" s="98">
        <f t="shared" si="8"/>
        <v>2017</v>
      </c>
      <c r="D24" s="200" t="str">
        <f t="shared" si="9"/>
        <v>Samstag</v>
      </c>
      <c r="E24" s="201" t="str">
        <f>IF(ISNA(INDEX(X!$W$7:$W$20,MATCH(DATE($G$7,$E$7,A24),X!$AC$7:$AC$20,0))),"X",1)</f>
        <v>X</v>
      </c>
      <c r="F24" s="202">
        <f t="shared" si="1"/>
        <v>2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10"/>
        <v/>
      </c>
      <c r="K24" s="215"/>
      <c r="L24" s="192" t="str">
        <f t="shared" si="12"/>
        <v/>
      </c>
      <c r="M24" s="157" t="str">
        <f t="shared" si="2"/>
        <v/>
      </c>
      <c r="N24" s="158">
        <f t="shared" si="16"/>
        <v>0</v>
      </c>
      <c r="O24" s="159" t="str">
        <f t="shared" si="17"/>
        <v/>
      </c>
      <c r="P24" s="160">
        <f t="shared" si="11"/>
        <v>0</v>
      </c>
      <c r="Q24" s="160">
        <f t="shared" si="4"/>
        <v>0</v>
      </c>
      <c r="R24" s="160">
        <f t="shared" si="5"/>
        <v>0</v>
      </c>
      <c r="S24" s="245"/>
      <c r="T24" s="236" t="str">
        <f t="shared" si="15"/>
        <v/>
      </c>
      <c r="U24" s="40"/>
      <c r="V24" s="40"/>
      <c r="W24" s="40"/>
      <c r="X24" s="40"/>
      <c r="Y24" s="264"/>
    </row>
    <row r="25" spans="1:25" x14ac:dyDescent="0.2">
      <c r="A25" s="199">
        <v>15</v>
      </c>
      <c r="B25" s="98">
        <f t="shared" si="7"/>
        <v>1</v>
      </c>
      <c r="C25" s="98">
        <f t="shared" si="8"/>
        <v>2017</v>
      </c>
      <c r="D25" s="200" t="str">
        <f t="shared" si="9"/>
        <v>Sonntag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2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10"/>
        <v/>
      </c>
      <c r="K25" s="215"/>
      <c r="L25" s="192" t="str">
        <f t="shared" si="12"/>
        <v/>
      </c>
      <c r="M25" s="162" t="str">
        <f t="shared" si="2"/>
        <v/>
      </c>
      <c r="N25" s="163">
        <f t="shared" si="16"/>
        <v>0</v>
      </c>
      <c r="O25" s="164" t="str">
        <f t="shared" si="17"/>
        <v/>
      </c>
      <c r="P25" s="165">
        <f t="shared" si="11"/>
        <v>0</v>
      </c>
      <c r="Q25" s="165">
        <f t="shared" si="4"/>
        <v>0</v>
      </c>
      <c r="R25" s="165">
        <f t="shared" si="5"/>
        <v>0</v>
      </c>
      <c r="S25" s="245"/>
      <c r="T25" s="236" t="str">
        <f t="shared" si="15"/>
        <v/>
      </c>
      <c r="U25" s="40"/>
      <c r="V25" s="40"/>
      <c r="W25" s="40"/>
      <c r="X25" s="40"/>
      <c r="Y25" s="264"/>
    </row>
    <row r="26" spans="1:25" x14ac:dyDescent="0.2">
      <c r="A26" s="199">
        <v>16</v>
      </c>
      <c r="B26" s="98">
        <f t="shared" si="7"/>
        <v>1</v>
      </c>
      <c r="C26" s="98">
        <f t="shared" si="8"/>
        <v>2017</v>
      </c>
      <c r="D26" s="200" t="str">
        <f t="shared" si="9"/>
        <v>Montag</v>
      </c>
      <c r="E26" s="201" t="str">
        <f>IF(ISNA(INDEX(X!$W$7:$W$20,MATCH(DATE($G$7,$E$7,A26),X!$AC$7:$AC$20,0))),"X",1)</f>
        <v>X</v>
      </c>
      <c r="F26" s="202">
        <f t="shared" ref="F26:F41" si="18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10"/>
        <v/>
      </c>
      <c r="K26" s="215"/>
      <c r="L26" s="192" t="str">
        <f t="shared" si="12"/>
        <v/>
      </c>
      <c r="M26" s="130" t="str">
        <f t="shared" si="2"/>
        <v/>
      </c>
      <c r="N26" s="131">
        <f t="shared" si="16"/>
        <v>0</v>
      </c>
      <c r="O26" s="132" t="str">
        <f t="shared" si="17"/>
        <v/>
      </c>
      <c r="P26" s="133">
        <f t="shared" si="11"/>
        <v>0</v>
      </c>
      <c r="Q26" s="133">
        <f t="shared" si="4"/>
        <v>0</v>
      </c>
      <c r="R26" s="133">
        <f t="shared" si="5"/>
        <v>0</v>
      </c>
      <c r="S26" s="245"/>
      <c r="T26" s="236" t="str">
        <f t="shared" si="15"/>
        <v/>
      </c>
      <c r="U26" s="40"/>
      <c r="V26" s="40"/>
      <c r="W26" s="40"/>
      <c r="X26" s="40"/>
      <c r="Y26" s="264"/>
    </row>
    <row r="27" spans="1:25" x14ac:dyDescent="0.2">
      <c r="A27" s="199">
        <v>17</v>
      </c>
      <c r="B27" s="98">
        <f t="shared" si="7"/>
        <v>1</v>
      </c>
      <c r="C27" s="98">
        <f t="shared" si="8"/>
        <v>2017</v>
      </c>
      <c r="D27" s="200" t="str">
        <f t="shared" si="9"/>
        <v>Dienstag</v>
      </c>
      <c r="E27" s="201" t="str">
        <f>IF(ISNA(INDEX(X!$W$7:$W$20,MATCH(DATE($G$7,$E$7,A27),X!$AC$7:$AC$20,0))),"X",1)</f>
        <v>X</v>
      </c>
      <c r="F27" s="202">
        <f t="shared" si="18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10"/>
        <v/>
      </c>
      <c r="K27" s="215"/>
      <c r="L27" s="192" t="str">
        <f t="shared" si="12"/>
        <v/>
      </c>
      <c r="M27" s="130" t="str">
        <f t="shared" si="2"/>
        <v/>
      </c>
      <c r="N27" s="131">
        <f t="shared" si="16"/>
        <v>0</v>
      </c>
      <c r="O27" s="132" t="str">
        <f t="shared" si="17"/>
        <v/>
      </c>
      <c r="P27" s="133">
        <f t="shared" si="11"/>
        <v>0</v>
      </c>
      <c r="Q27" s="133">
        <f t="shared" si="4"/>
        <v>0</v>
      </c>
      <c r="R27" s="133">
        <f t="shared" si="5"/>
        <v>0</v>
      </c>
      <c r="S27" s="245"/>
      <c r="T27" s="236" t="str">
        <f t="shared" si="15"/>
        <v/>
      </c>
      <c r="U27" s="40"/>
      <c r="V27" s="40"/>
      <c r="W27" s="40"/>
      <c r="X27" s="40"/>
      <c r="Y27" s="264"/>
    </row>
    <row r="28" spans="1:25" x14ac:dyDescent="0.2">
      <c r="A28" s="199">
        <v>18</v>
      </c>
      <c r="B28" s="98">
        <f t="shared" si="7"/>
        <v>1</v>
      </c>
      <c r="C28" s="98">
        <f t="shared" si="8"/>
        <v>2017</v>
      </c>
      <c r="D28" s="200" t="str">
        <f t="shared" si="9"/>
        <v>Mittwoch</v>
      </c>
      <c r="E28" s="201" t="str">
        <f>IF(ISNA(INDEX(X!$W$7:$W$20,MATCH(DATE($G$7,$E$7,A28),X!$AC$7:$AC$20,0))),"X",1)</f>
        <v>X</v>
      </c>
      <c r="F28" s="202">
        <f t="shared" si="18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10"/>
        <v/>
      </c>
      <c r="K28" s="215"/>
      <c r="L28" s="192" t="str">
        <f t="shared" si="12"/>
        <v/>
      </c>
      <c r="M28" s="130" t="str">
        <f t="shared" si="2"/>
        <v/>
      </c>
      <c r="N28" s="131">
        <f t="shared" si="16"/>
        <v>0</v>
      </c>
      <c r="O28" s="132" t="str">
        <f t="shared" si="17"/>
        <v/>
      </c>
      <c r="P28" s="133">
        <f t="shared" si="11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>IF(AND(F28=4,$L$8=""),SUM($X$3:$X$7,$V$3:$V$7,D28),IF(AND(F28=4,$L$8=15,A28&lt;15),SUMIFS($X$3:$X$7,$V$3:$V$7,D28),IF(AND(F28=4,$L$8=15,A28&gt;14),SUMIFS($X$12:$X$16,$V$12:$V$16,D28),IF(AND(F28=3,$L$8=15,A28&gt;15),$K$8/5,IF(AND(F28=3,$L$8=15,A28&lt;15),$K$7/5,IF(AND(F28=3,$L$8=""),$K$7/5,0))))))</f>
        <v>0</v>
      </c>
      <c r="S28" s="245"/>
      <c r="T28" s="236" t="str">
        <f t="shared" si="15"/>
        <v/>
      </c>
      <c r="U28" s="40"/>
      <c r="V28" s="40"/>
      <c r="W28" s="40"/>
      <c r="X28" s="40"/>
      <c r="Y28" s="264"/>
    </row>
    <row r="29" spans="1:25" x14ac:dyDescent="0.2">
      <c r="A29" s="199">
        <v>19</v>
      </c>
      <c r="B29" s="98">
        <f t="shared" si="7"/>
        <v>1</v>
      </c>
      <c r="C29" s="98">
        <f t="shared" si="8"/>
        <v>2017</v>
      </c>
      <c r="D29" s="200" t="str">
        <f t="shared" si="9"/>
        <v>Donnerstag</v>
      </c>
      <c r="E29" s="201" t="str">
        <f>IF(ISNA(INDEX(X!$W$7:$W$20,MATCH(DATE($G$7,$E$7,A29),X!$AC$7:$AC$20,0))),"X",1)</f>
        <v>X</v>
      </c>
      <c r="F29" s="202">
        <f t="shared" si="18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10"/>
        <v/>
      </c>
      <c r="K29" s="215"/>
      <c r="L29" s="192" t="str">
        <f t="shared" si="12"/>
        <v/>
      </c>
      <c r="M29" s="130" t="str">
        <f>IF(P29&lt;0,P29+IF(L29="",0,L29),L29)</f>
        <v/>
      </c>
      <c r="N29" s="131">
        <f t="shared" si="16"/>
        <v>0</v>
      </c>
      <c r="O29" s="132" t="str">
        <f t="shared" si="17"/>
        <v/>
      </c>
      <c r="P29" s="133">
        <f t="shared" si="11"/>
        <v>0</v>
      </c>
      <c r="Q29" s="133">
        <f t="shared" ref="Q29:Q41" si="19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ref="R29:R41" si="20">IF(AND(F29=4,$L$8=""),SUM($X$3:$X$7,$V$3:$V$7,D29),IF(AND(F29=4,$L$8=15,A29&lt;15),SUMIFS($X$3:$X$7,$V$3:$V$7,D29),IF(AND(F29=4,$L$8=15,A29&gt;14),SUMIFS($X$12:$X$16,$V$12:$V$16,D29),IF(AND(F29=3,$L$8=15,A29&gt;15),$K$8/5,IF(AND(F29=3,$L$8=15,A29&lt;15),$K$7/5,IF(AND(F29=3,$L$8=""),$K$7/5,0))))))</f>
        <v>0</v>
      </c>
      <c r="S29" s="245"/>
      <c r="T29" s="236" t="str">
        <f t="shared" si="15"/>
        <v/>
      </c>
      <c r="U29" s="40"/>
      <c r="V29" s="40"/>
      <c r="W29" s="40"/>
      <c r="X29" s="40"/>
      <c r="Y29" s="264"/>
    </row>
    <row r="30" spans="1:25" x14ac:dyDescent="0.2">
      <c r="A30" s="199">
        <v>20</v>
      </c>
      <c r="B30" s="98">
        <f t="shared" si="7"/>
        <v>1</v>
      </c>
      <c r="C30" s="98">
        <f t="shared" si="8"/>
        <v>2017</v>
      </c>
      <c r="D30" s="200" t="str">
        <f t="shared" si="9"/>
        <v>Freitag</v>
      </c>
      <c r="E30" s="201" t="str">
        <f>IF(ISNA(INDEX(X!$W$7:$W$20,MATCH(DATE($G$7,$E$7,A30),X!$AC$7:$AC$20,0))),"X",1)</f>
        <v>X</v>
      </c>
      <c r="F30" s="202">
        <f t="shared" si="18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10"/>
        <v/>
      </c>
      <c r="K30" s="215"/>
      <c r="L30" s="192" t="str">
        <f t="shared" si="12"/>
        <v/>
      </c>
      <c r="M30" s="130" t="str">
        <f t="shared" ref="M30:M41" si="21">IF(P30&lt;0,P30+IF(L30="",0,L30),L30)</f>
        <v/>
      </c>
      <c r="N30" s="131">
        <f t="shared" si="16"/>
        <v>0</v>
      </c>
      <c r="O30" s="132" t="str">
        <f t="shared" si="17"/>
        <v/>
      </c>
      <c r="P30" s="133">
        <f t="shared" si="11"/>
        <v>0</v>
      </c>
      <c r="Q30" s="133">
        <f t="shared" si="19"/>
        <v>0</v>
      </c>
      <c r="R30" s="133">
        <f t="shared" si="20"/>
        <v>0</v>
      </c>
      <c r="S30" s="245"/>
      <c r="T30" s="236" t="str">
        <f t="shared" si="15"/>
        <v/>
      </c>
      <c r="U30" s="40"/>
      <c r="V30" s="40"/>
      <c r="W30" s="40"/>
      <c r="X30" s="40"/>
      <c r="Y30" s="264"/>
    </row>
    <row r="31" spans="1:25" x14ac:dyDescent="0.2">
      <c r="A31" s="199">
        <v>21</v>
      </c>
      <c r="B31" s="98">
        <f t="shared" si="7"/>
        <v>1</v>
      </c>
      <c r="C31" s="98">
        <f t="shared" si="8"/>
        <v>2017</v>
      </c>
      <c r="D31" s="200" t="str">
        <f t="shared" si="9"/>
        <v>Samstag</v>
      </c>
      <c r="E31" s="201" t="str">
        <f>IF(ISNA(INDEX(X!$W$7:$W$20,MATCH(DATE($G$7,$E$7,A31),X!$AC$7:$AC$20,0))),"X",1)</f>
        <v>X</v>
      </c>
      <c r="F31" s="202">
        <f t="shared" si="18"/>
        <v>2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10"/>
        <v/>
      </c>
      <c r="K31" s="215"/>
      <c r="L31" s="192" t="str">
        <f t="shared" si="12"/>
        <v/>
      </c>
      <c r="M31" s="130" t="str">
        <f t="shared" si="21"/>
        <v/>
      </c>
      <c r="N31" s="131">
        <f t="shared" si="16"/>
        <v>0</v>
      </c>
      <c r="O31" s="132" t="str">
        <f t="shared" si="17"/>
        <v/>
      </c>
      <c r="P31" s="133">
        <f t="shared" si="11"/>
        <v>0</v>
      </c>
      <c r="Q31" s="133">
        <f t="shared" si="19"/>
        <v>0</v>
      </c>
      <c r="R31" s="133">
        <f t="shared" si="20"/>
        <v>0</v>
      </c>
      <c r="S31" s="245"/>
      <c r="T31" s="236" t="str">
        <f t="shared" si="15"/>
        <v/>
      </c>
      <c r="U31" s="40"/>
      <c r="V31" s="40"/>
      <c r="W31" s="40"/>
      <c r="X31" s="40"/>
      <c r="Y31" s="264"/>
    </row>
    <row r="32" spans="1:25" x14ac:dyDescent="0.2">
      <c r="A32" s="199">
        <v>22</v>
      </c>
      <c r="B32" s="98">
        <f t="shared" si="7"/>
        <v>1</v>
      </c>
      <c r="C32" s="98">
        <f t="shared" si="8"/>
        <v>2017</v>
      </c>
      <c r="D32" s="200" t="str">
        <f t="shared" si="9"/>
        <v>Sonntag</v>
      </c>
      <c r="E32" s="201" t="str">
        <f>IF(ISNA(INDEX(X!$W$7:$W$20,MATCH(DATE($G$7,$E$7,A32),X!$AC$7:$AC$20,0))),"X",1)</f>
        <v>X</v>
      </c>
      <c r="F32" s="202">
        <f t="shared" si="18"/>
        <v>2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10"/>
        <v/>
      </c>
      <c r="K32" s="215"/>
      <c r="L32" s="192" t="str">
        <f t="shared" si="12"/>
        <v/>
      </c>
      <c r="M32" s="130" t="str">
        <f t="shared" si="21"/>
        <v/>
      </c>
      <c r="N32" s="131">
        <f t="shared" si="16"/>
        <v>0</v>
      </c>
      <c r="O32" s="132" t="str">
        <f t="shared" si="17"/>
        <v/>
      </c>
      <c r="P32" s="133">
        <f t="shared" si="11"/>
        <v>0</v>
      </c>
      <c r="Q32" s="133">
        <f t="shared" si="19"/>
        <v>0</v>
      </c>
      <c r="R32" s="133">
        <f t="shared" si="20"/>
        <v>0</v>
      </c>
      <c r="S32" s="245"/>
      <c r="T32" s="236" t="str">
        <f t="shared" si="15"/>
        <v/>
      </c>
      <c r="U32" s="40"/>
      <c r="V32" s="40"/>
      <c r="W32" s="40"/>
      <c r="X32" s="40"/>
      <c r="Y32" s="264"/>
    </row>
    <row r="33" spans="1:25" x14ac:dyDescent="0.2">
      <c r="A33" s="199">
        <v>23</v>
      </c>
      <c r="B33" s="98">
        <f t="shared" si="7"/>
        <v>1</v>
      </c>
      <c r="C33" s="98">
        <f t="shared" si="8"/>
        <v>2017</v>
      </c>
      <c r="D33" s="200" t="str">
        <f t="shared" si="9"/>
        <v>Montag</v>
      </c>
      <c r="E33" s="201" t="str">
        <f>IF(ISNA(INDEX(X!$W$7:$W$20,MATCH(DATE($G$7,$E$7,A33),X!$AC$7:$AC$20,0))),"X",1)</f>
        <v>X</v>
      </c>
      <c r="F33" s="202">
        <f t="shared" si="18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10"/>
        <v/>
      </c>
      <c r="K33" s="215"/>
      <c r="L33" s="192" t="str">
        <f t="shared" si="12"/>
        <v/>
      </c>
      <c r="M33" s="130" t="str">
        <f t="shared" si="21"/>
        <v/>
      </c>
      <c r="N33" s="131">
        <f t="shared" si="16"/>
        <v>0</v>
      </c>
      <c r="O33" s="132" t="str">
        <f t="shared" si="17"/>
        <v/>
      </c>
      <c r="P33" s="133">
        <f t="shared" si="11"/>
        <v>0</v>
      </c>
      <c r="Q33" s="133">
        <f t="shared" si="19"/>
        <v>0</v>
      </c>
      <c r="R33" s="133">
        <f t="shared" si="20"/>
        <v>0</v>
      </c>
      <c r="S33" s="245"/>
      <c r="T33" s="236" t="str">
        <f t="shared" si="15"/>
        <v/>
      </c>
      <c r="U33" s="40"/>
      <c r="V33" s="40"/>
      <c r="W33" s="40"/>
      <c r="X33" s="40"/>
      <c r="Y33" s="264"/>
    </row>
    <row r="34" spans="1:25" x14ac:dyDescent="0.2">
      <c r="A34" s="199">
        <v>24</v>
      </c>
      <c r="B34" s="98">
        <f t="shared" si="7"/>
        <v>1</v>
      </c>
      <c r="C34" s="98">
        <f t="shared" si="8"/>
        <v>2017</v>
      </c>
      <c r="D34" s="200" t="str">
        <f t="shared" si="9"/>
        <v>Dienstag</v>
      </c>
      <c r="E34" s="201" t="str">
        <f>IF(ISNA(INDEX(X!$W$7:$W$20,MATCH(DATE($G$7,$E$7,A34),X!$AC$7:$AC$20,0))),"X",1)</f>
        <v>X</v>
      </c>
      <c r="F34" s="202">
        <f t="shared" si="18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10"/>
        <v/>
      </c>
      <c r="K34" s="215"/>
      <c r="L34" s="192" t="str">
        <f t="shared" si="12"/>
        <v/>
      </c>
      <c r="M34" s="130" t="str">
        <f t="shared" si="21"/>
        <v/>
      </c>
      <c r="N34" s="131">
        <f t="shared" si="16"/>
        <v>0</v>
      </c>
      <c r="O34" s="132" t="str">
        <f t="shared" si="17"/>
        <v/>
      </c>
      <c r="P34" s="133">
        <f t="shared" si="11"/>
        <v>0</v>
      </c>
      <c r="Q34" s="133">
        <f t="shared" si="19"/>
        <v>0</v>
      </c>
      <c r="R34" s="133">
        <f t="shared" si="20"/>
        <v>0</v>
      </c>
      <c r="S34" s="245"/>
      <c r="T34" s="236" t="str">
        <f t="shared" si="15"/>
        <v/>
      </c>
      <c r="U34" s="40"/>
      <c r="V34" s="40"/>
      <c r="W34" s="40"/>
      <c r="X34" s="40"/>
      <c r="Y34" s="264"/>
    </row>
    <row r="35" spans="1:25" x14ac:dyDescent="0.2">
      <c r="A35" s="199">
        <v>25</v>
      </c>
      <c r="B35" s="98">
        <f t="shared" si="7"/>
        <v>1</v>
      </c>
      <c r="C35" s="98">
        <f t="shared" si="8"/>
        <v>2017</v>
      </c>
      <c r="D35" s="200" t="str">
        <f t="shared" si="9"/>
        <v>Mittwoch</v>
      </c>
      <c r="E35" s="201" t="str">
        <f>IF(ISNA(INDEX(X!$W$7:$W$20,MATCH(DATE($G$7,$E$7,A35),X!$AC$7:$AC$20,0))),"X",1)</f>
        <v>X</v>
      </c>
      <c r="F35" s="202">
        <f t="shared" si="18"/>
        <v>1</v>
      </c>
      <c r="G35" s="103"/>
      <c r="H35" s="211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>IF(K35="Resturlaub",(I35/24)/60,IF(O35=0,"",O35))</f>
        <v/>
      </c>
      <c r="K35" s="215"/>
      <c r="L35" s="192" t="str">
        <f t="shared" si="12"/>
        <v/>
      </c>
      <c r="M35" s="130" t="str">
        <f t="shared" si="21"/>
        <v/>
      </c>
      <c r="N35" s="131">
        <f>((HOUR(H35)*60+MINUTE(H35))/24)-((HOUR(G35)*60+MINUTE(G35))/24)</f>
        <v>0</v>
      </c>
      <c r="O35" s="132" t="str">
        <f>IF(N35=0,IF(M35="","",IF((M35/60)&lt;0,TEXT(-((M35/60)/24),"-[h]:mm"),IF((M35/60)&gt;24,TEXT((((M35/60)-24)/24)+(24/24),"[hh]:mm"),M34/60))),IF(N35&gt;15,(N35-(30/24))/60,N35/60))</f>
        <v/>
      </c>
      <c r="P35" s="133">
        <f>IF(K35="krank",0,IF(AND(F35=3,$L$8=""),$K$7/5,IF(AND(F35=3,$L$8=15,A35&lt;15),$K$7/5,IF(AND(F35=3,$L$8=15,A35&gt;14),$K$8/5,IF(AND(F35=4,$L$8=""),SUMIFS($X$3:$X$7,$V$3:$V$7,D35),IF(AND(F35=4,$L$8=15,A35&lt;15),SUMIFS($X$3:$X$7,$V$3:$V$7,D35),IF(AND(F35=4,$L$8=15,A35&gt;14),SUMIFS($X$12:$X$16,$V$12:$V$16,D35)))))))*-60)+IF(K35="Urlaub",IF(AND(Q35&lt;=0,Q34&gt;0),Q34,IF(Q35&gt;0,Q34-Q35,IF(Q35&gt;0,0))))</f>
        <v>0</v>
      </c>
      <c r="Q35" s="133">
        <f t="shared" si="19"/>
        <v>0</v>
      </c>
      <c r="R35" s="133">
        <f t="shared" si="20"/>
        <v>0</v>
      </c>
      <c r="S35" s="245"/>
      <c r="T35" s="236" t="str">
        <f t="shared" si="15"/>
        <v/>
      </c>
      <c r="U35" s="40"/>
      <c r="V35" s="40"/>
      <c r="W35" s="40"/>
      <c r="X35" s="40"/>
      <c r="Y35" s="264"/>
    </row>
    <row r="36" spans="1:25" x14ac:dyDescent="0.2">
      <c r="A36" s="199">
        <v>26</v>
      </c>
      <c r="B36" s="98">
        <f t="shared" si="7"/>
        <v>1</v>
      </c>
      <c r="C36" s="98">
        <f t="shared" si="8"/>
        <v>2017</v>
      </c>
      <c r="D36" s="200" t="str">
        <f t="shared" si="9"/>
        <v>Donnerstag</v>
      </c>
      <c r="E36" s="201" t="str">
        <f>IF(ISNA(INDEX(X!$W$7:$W$20,MATCH(DATE($G$7,$E$7,A36),X!$AC$7:$AC$20,0))),"X",1)</f>
        <v>X</v>
      </c>
      <c r="F36" s="202">
        <f t="shared" si="18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10"/>
        <v/>
      </c>
      <c r="K36" s="215"/>
      <c r="L36" s="192" t="str">
        <f t="shared" si="12"/>
        <v/>
      </c>
      <c r="M36" s="130" t="str">
        <f t="shared" si="21"/>
        <v/>
      </c>
      <c r="N36" s="131">
        <f t="shared" si="16"/>
        <v>0</v>
      </c>
      <c r="O36" s="132" t="str">
        <f t="shared" si="17"/>
        <v/>
      </c>
      <c r="P36" s="133">
        <f t="shared" ref="P36:P41" si="22">IF(K36="krank",0,IF(AND(F36=3,$L$8=""),$K$7/5,IF(AND(F36=3,$L$8=15,A36&lt;15),$K$7/5,IF(AND(F36=3,$L$8=15,A36&gt;14),$K$8/5,IF(AND(F36=4,$L$8=""),SUMIFS($X$3:$X$7,$V$3:$V$7,D36),IF(AND(F36=4,$L$8=15,A36&lt;15),SUMIFS($X$3:$X$7,$V$3:$V$7,D36),IF(AND(F36=4,$L$8=15,A36&gt;14),SUMIFS($X$12:$X$16,$V$12:$V$16,D36)))))))*-60)+IF(K36="Urlaub",IF(AND(Q36&lt;=0,Q35&gt;0),Q35,IF(Q36&gt;0,Q35-Q36,IF(Q36&gt;0,0))))</f>
        <v>0</v>
      </c>
      <c r="Q36" s="133">
        <f>Q35-(IF(F36=1,0,IF(AND(F36=3,$L$8="",K36="Urlaub"),$K$7/5,IF(AND(F36=3,$L$8=15,A36&lt;15,K36="Urlaub"),$K$7/5,IF(AND(F36=3,$L$8=15,A36&gt;14,K36="Urlaub"),$K$8/5,IF(AND(K36="Urlaub",F36=4,$L$8=""),SUMIFS($X$3:$X$7,$V$3:$V$7,D36),IF(AND(K36="Urlaub",F36=4,$L$8=15,A36&gt;14),SUMIFS($X$12:$X$16,$V$12:$V$16,D36),IF(AND(K36="Urlaub",F36=4,$L$8=15,A36&lt;15),SUMIFS($X$3:$X$7,$V$3:$V$7,D36),0)))))))*60)</f>
        <v>0</v>
      </c>
      <c r="R36" s="133">
        <f t="shared" si="20"/>
        <v>0</v>
      </c>
      <c r="S36" s="245"/>
      <c r="T36" s="236" t="str">
        <f>IF(S36="","",(L36-(S36*60))/60)</f>
        <v/>
      </c>
      <c r="U36" s="40"/>
      <c r="V36" s="40"/>
      <c r="W36" s="40"/>
      <c r="X36" s="40"/>
      <c r="Y36" s="264"/>
    </row>
    <row r="37" spans="1:25" x14ac:dyDescent="0.2">
      <c r="A37" s="199">
        <v>27</v>
      </c>
      <c r="B37" s="98">
        <f t="shared" si="7"/>
        <v>1</v>
      </c>
      <c r="C37" s="98">
        <f t="shared" si="8"/>
        <v>2017</v>
      </c>
      <c r="D37" s="200" t="str">
        <f t="shared" si="9"/>
        <v>Freitag</v>
      </c>
      <c r="E37" s="201" t="str">
        <f>IF(ISNA(INDEX(X!$W$7:$W$20,MATCH(DATE($G$7,$E$7,A37),X!$AC$7:$AC$20,0))),"X",1)</f>
        <v>X</v>
      </c>
      <c r="F37" s="202">
        <f t="shared" si="18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10"/>
        <v/>
      </c>
      <c r="K37" s="215"/>
      <c r="L37" s="192" t="str">
        <f t="shared" si="12"/>
        <v/>
      </c>
      <c r="M37" s="130" t="str">
        <f t="shared" si="21"/>
        <v/>
      </c>
      <c r="N37" s="131">
        <f>((HOUR(H37)*60+MINUTE(H37))/24)-((HOUR(G37)*60+MINUTE(G37))/24)</f>
        <v>0</v>
      </c>
      <c r="O37" s="132" t="str">
        <f t="shared" si="17"/>
        <v/>
      </c>
      <c r="P37" s="133">
        <f t="shared" si="22"/>
        <v>0</v>
      </c>
      <c r="Q37" s="133">
        <f t="shared" si="19"/>
        <v>0</v>
      </c>
      <c r="R37" s="133">
        <f t="shared" si="20"/>
        <v>0</v>
      </c>
      <c r="S37" s="245"/>
      <c r="T37" s="236" t="str">
        <f t="shared" si="15"/>
        <v/>
      </c>
      <c r="U37" s="40"/>
      <c r="V37" s="40"/>
      <c r="W37" s="40"/>
      <c r="X37" s="40"/>
      <c r="Y37" s="264"/>
    </row>
    <row r="38" spans="1:25" x14ac:dyDescent="0.2">
      <c r="A38" s="199">
        <v>28</v>
      </c>
      <c r="B38" s="98">
        <f t="shared" si="7"/>
        <v>1</v>
      </c>
      <c r="C38" s="98">
        <f t="shared" si="8"/>
        <v>2017</v>
      </c>
      <c r="D38" s="200" t="str">
        <f t="shared" si="9"/>
        <v>Samstag</v>
      </c>
      <c r="E38" s="201" t="str">
        <f>IF(ISNA(INDEX(X!$W$7:$W$20,MATCH(DATE($G$7,$E$7,A38),X!$AC$7:$AC$20,0))),"X",1)</f>
        <v>X</v>
      </c>
      <c r="F38" s="202">
        <f t="shared" si="18"/>
        <v>2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10"/>
        <v/>
      </c>
      <c r="K38" s="215"/>
      <c r="L38" s="192" t="str">
        <f t="shared" si="12"/>
        <v/>
      </c>
      <c r="M38" s="130" t="str">
        <f t="shared" si="21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22"/>
        <v>0</v>
      </c>
      <c r="Q38" s="133">
        <f t="shared" si="19"/>
        <v>0</v>
      </c>
      <c r="R38" s="133">
        <f t="shared" si="20"/>
        <v>0</v>
      </c>
      <c r="S38" s="245"/>
      <c r="T38" s="236" t="str">
        <f t="shared" si="15"/>
        <v/>
      </c>
      <c r="U38" s="40"/>
      <c r="V38" s="40"/>
      <c r="W38" s="40"/>
      <c r="X38" s="40"/>
      <c r="Y38" s="264"/>
    </row>
    <row r="39" spans="1:25" x14ac:dyDescent="0.2">
      <c r="A39" s="199">
        <v>29</v>
      </c>
      <c r="B39" s="98">
        <f t="shared" si="7"/>
        <v>1</v>
      </c>
      <c r="C39" s="98">
        <f t="shared" si="8"/>
        <v>2017</v>
      </c>
      <c r="D39" s="200" t="str">
        <f t="shared" si="9"/>
        <v>Sonntag</v>
      </c>
      <c r="E39" s="201" t="str">
        <f>IF(ISNA(INDEX(X!$W$7:$W$20,MATCH(DATE($G$7,$E$7,A39),X!$AC$7:$AC$20,0))),"X",1)</f>
        <v>X</v>
      </c>
      <c r="F39" s="202">
        <f t="shared" si="18"/>
        <v>2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10"/>
        <v/>
      </c>
      <c r="K39" s="215"/>
      <c r="L39" s="192" t="str">
        <f t="shared" si="12"/>
        <v/>
      </c>
      <c r="M39" s="130" t="str">
        <f t="shared" si="21"/>
        <v/>
      </c>
      <c r="N39" s="131">
        <f t="shared" si="16"/>
        <v>0</v>
      </c>
      <c r="O39" s="132" t="str">
        <f t="shared" si="17"/>
        <v/>
      </c>
      <c r="P39" s="133">
        <f t="shared" si="22"/>
        <v>0</v>
      </c>
      <c r="Q39" s="133">
        <f t="shared" si="19"/>
        <v>0</v>
      </c>
      <c r="R39" s="133">
        <f t="shared" si="20"/>
        <v>0</v>
      </c>
      <c r="S39" s="245"/>
      <c r="T39" s="236" t="str">
        <f t="shared" si="15"/>
        <v/>
      </c>
      <c r="U39" s="40"/>
      <c r="V39" s="40"/>
      <c r="W39" s="40"/>
      <c r="X39" s="40"/>
      <c r="Y39" s="264"/>
    </row>
    <row r="40" spans="1:25" x14ac:dyDescent="0.2">
      <c r="A40" s="199">
        <v>30</v>
      </c>
      <c r="B40" s="98">
        <f t="shared" si="7"/>
        <v>1</v>
      </c>
      <c r="C40" s="98">
        <f t="shared" si="8"/>
        <v>2017</v>
      </c>
      <c r="D40" s="200" t="str">
        <f t="shared" si="9"/>
        <v>Montag</v>
      </c>
      <c r="E40" s="201" t="str">
        <f>IF(ISNA(INDEX(X!$W$7:$W$20,MATCH(DATE($G$7,$E$7,A40),X!$AC$7:$AC$20,0))),"X",1)</f>
        <v>X</v>
      </c>
      <c r="F40" s="202">
        <f t="shared" si="18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10"/>
        <v/>
      </c>
      <c r="K40" s="215"/>
      <c r="L40" s="192" t="str">
        <f t="shared" si="12"/>
        <v/>
      </c>
      <c r="M40" s="130" t="str">
        <f t="shared" si="21"/>
        <v/>
      </c>
      <c r="N40" s="131">
        <f t="shared" si="16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22"/>
        <v>0</v>
      </c>
      <c r="Q40" s="133">
        <f t="shared" si="19"/>
        <v>0</v>
      </c>
      <c r="R40" s="133">
        <f t="shared" si="20"/>
        <v>0</v>
      </c>
      <c r="S40" s="245"/>
      <c r="T40" s="236" t="str">
        <f t="shared" si="15"/>
        <v/>
      </c>
      <c r="U40" s="40"/>
      <c r="V40" s="40"/>
      <c r="W40" s="40"/>
      <c r="X40" s="40"/>
    </row>
    <row r="41" spans="1:25" x14ac:dyDescent="0.2">
      <c r="A41" s="203">
        <f>IF(OR(B41=1,B41=3,B41=5,B41=7,B41=8,B41=10,B41=12),31,"")</f>
        <v>31</v>
      </c>
      <c r="B41" s="204">
        <f t="shared" si="7"/>
        <v>1</v>
      </c>
      <c r="C41" s="204">
        <f t="shared" si="8"/>
        <v>2017</v>
      </c>
      <c r="D41" s="205" t="str">
        <f>IF(A41="","",TEXT(DATE($G$7,$E$7,A41),"TTTT"))</f>
        <v>Dienstag</v>
      </c>
      <c r="E41" s="206" t="str">
        <f>IF(ISNA(INDEX(X!$W$7:$W$20,MATCH(DATE($G$7,$E$7,A41),X!$AC$7:$AC$20,0))),"X",1)</f>
        <v>X</v>
      </c>
      <c r="F41" s="207">
        <f t="shared" si="18"/>
        <v>1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10"/>
        <v/>
      </c>
      <c r="K41" s="216"/>
      <c r="L41" s="192" t="str">
        <f t="shared" si="12"/>
        <v/>
      </c>
      <c r="M41" s="134" t="str">
        <f t="shared" si="21"/>
        <v/>
      </c>
      <c r="N41" s="135">
        <f t="shared" si="16"/>
        <v>0</v>
      </c>
      <c r="O41" s="136" t="str">
        <f t="shared" si="17"/>
        <v/>
      </c>
      <c r="P41" s="137">
        <f t="shared" si="22"/>
        <v>0</v>
      </c>
      <c r="Q41" s="137">
        <f t="shared" si="19"/>
        <v>0</v>
      </c>
      <c r="R41" s="137">
        <f t="shared" si="20"/>
        <v>0</v>
      </c>
      <c r="S41" s="246"/>
      <c r="T41" s="237" t="str">
        <f t="shared" si="15"/>
        <v/>
      </c>
      <c r="U41" s="40"/>
      <c r="V41" s="40"/>
      <c r="W41" s="40"/>
      <c r="X41" s="40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40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41&gt;0,A41-14,A40-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>(K4*60)</f>
        <v>0</v>
      </c>
      <c r="J45" s="263">
        <f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6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91">
        <f ca="1">IF(OR(SUM(Uebersicht!B36:B40)&gt;0,SUM(Jan!W3:W7)&gt;0),SUM(I43+I45-I46),SUM(I43:I45,-I46))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40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40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40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40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40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40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40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40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40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G9:H9"/>
    <mergeCell ref="A8:H8"/>
    <mergeCell ref="V10:W10"/>
    <mergeCell ref="A4:G4"/>
    <mergeCell ref="A3:G3"/>
    <mergeCell ref="A7:D7"/>
    <mergeCell ref="A6:D6"/>
    <mergeCell ref="I9:J9"/>
    <mergeCell ref="H4:J4"/>
    <mergeCell ref="H3:J3"/>
    <mergeCell ref="I7:J7"/>
    <mergeCell ref="I6:J6"/>
  </mergeCells>
  <phoneticPr fontId="0" type="noConversion"/>
  <conditionalFormatting sqref="W8">
    <cfRule type="containsText" dxfId="224" priority="40" operator="containsText" text="zu wenig!">
      <formula>NOT(ISERROR(SEARCH("zu wenig!",W8)))</formula>
    </cfRule>
    <cfRule type="containsText" dxfId="223" priority="41" operator="containsText" text="zu viel!">
      <formula>NOT(ISERROR(SEARCH("zu viel!",W8)))</formula>
    </cfRule>
  </conditionalFormatting>
  <conditionalFormatting sqref="A11:D41 G11:K41">
    <cfRule type="expression" dxfId="222" priority="34">
      <formula>$F11=2</formula>
    </cfRule>
    <cfRule type="expression" dxfId="221" priority="36">
      <formula>$F11=1</formula>
    </cfRule>
  </conditionalFormatting>
  <conditionalFormatting sqref="L11:L41">
    <cfRule type="expression" dxfId="220" priority="31">
      <formula>$F11=2</formula>
    </cfRule>
    <cfRule type="expression" dxfId="219" priority="33">
      <formula>$F11=1</formula>
    </cfRule>
  </conditionalFormatting>
  <conditionalFormatting sqref="E11:E41">
    <cfRule type="expression" dxfId="218" priority="28">
      <formula>$F11=2</formula>
    </cfRule>
    <cfRule type="expression" dxfId="217" priority="30">
      <formula>$F11=1</formula>
    </cfRule>
  </conditionalFormatting>
  <conditionalFormatting sqref="W17">
    <cfRule type="containsText" dxfId="216" priority="23" operator="containsText" text="zu wenig!">
      <formula>NOT(ISERROR(SEARCH("zu wenig!",W17)))</formula>
    </cfRule>
    <cfRule type="containsText" dxfId="215" priority="24" operator="containsText" text="zu viel!">
      <formula>NOT(ISERROR(SEARCH("zu viel!",W17)))</formula>
    </cfRule>
  </conditionalFormatting>
  <conditionalFormatting sqref="V10:X18">
    <cfRule type="expression" dxfId="214" priority="22">
      <formula>$K$8=""</formula>
    </cfRule>
  </conditionalFormatting>
  <conditionalFormatting sqref="S10:T48">
    <cfRule type="expression" dxfId="213" priority="9">
      <formula>$A$9=""</formula>
    </cfRule>
  </conditionalFormatting>
  <conditionalFormatting sqref="S11:T41">
    <cfRule type="expression" dxfId="212" priority="7">
      <formula>$F11=1</formula>
    </cfRule>
    <cfRule type="expression" dxfId="211" priority="8">
      <formula>$F11=2</formula>
    </cfRule>
  </conditionalFormatting>
  <conditionalFormatting sqref="S6:T49">
    <cfRule type="expression" dxfId="210" priority="6">
      <formula>$M$8=""</formula>
    </cfRule>
  </conditionalFormatting>
  <conditionalFormatting sqref="F11:F41">
    <cfRule type="expression" dxfId="1" priority="1">
      <formula>$F11=2</formula>
    </cfRule>
    <cfRule type="expression" dxfId="0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295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295" t="str">
        <f>IF(Uebersicht!AX4&gt;0,0,"")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295" t="str">
        <f>IF(Uebersicht!AY4&gt;0,32,"")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IF($K$7=0,"",IF(Jan!$X$1="nein","",IF($X$1="nein","",IF(W3&gt;0,W3,Uebersicht!BC4))))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IF(AND(YEAR(TODAY())=G7,MONTH(TODAY())&gt;=E7,K7&gt;0),Jan!I48,0)</f>
        <v>0</v>
      </c>
      <c r="L4" s="295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IF($K$7=0,"",IF(Jan!$X$1="nein","",IF($X$1="nein","",IF(W4&gt;0,W4,Uebersicht!BD4))))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295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IF($K$7=0,"",IF(Jan!$X$1="nein","",IF($X$1="nein","",IF(W5&gt;0,W5,Uebersicht!BE4))))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295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IF($K$7=0,"",IF(Jan!$X$1="nein","",IF($X$1="nein","",IF(W6&gt;0,W6,Uebersicht!BF4))))</f>
        <v/>
      </c>
      <c r="Y6" s="188">
        <f t="shared" si="0"/>
        <v>1</v>
      </c>
    </row>
    <row r="7" spans="1:25" x14ac:dyDescent="0.2">
      <c r="A7" s="286" t="s">
        <v>15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2</v>
      </c>
      <c r="F7" s="166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Uebersicht!AP7</f>
        <v>0</v>
      </c>
      <c r="L7" s="295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IF($K$7=0,"",IF(Jan!$X$1="nein","",IF($X$1="nein","",IF(W7&gt;0,W7,Uebersicht!BG4))))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IF(Uebersicht!AP8=K7,"",Uebersicht!AP8)</f>
        <v/>
      </c>
      <c r="L8" s="295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295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Jan!Q42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2</v>
      </c>
      <c r="C11" s="194">
        <f>$G$7</f>
        <v>2017</v>
      </c>
      <c r="D11" s="195" t="str">
        <f>TEXT(DATE($G$7,$E$7,A11),"TTTT")</f>
        <v>Mittwoch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39" si="5">$E$7</f>
        <v>2</v>
      </c>
      <c r="C12" s="98">
        <f t="shared" ref="C12:C39" si="6">$G$7</f>
        <v>2017</v>
      </c>
      <c r="D12" s="200" t="str">
        <f t="shared" ref="D12:D38" si="7">TEXT(DATE($G$7,$E$7,A12),"TTTT")</f>
        <v>Donnerstag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IF($K$8=0,"",IF($X$1="nein","",IF($L$8="","",IF(W12="",Uebersicht!BH4,W12))))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2</v>
      </c>
      <c r="C13" s="98">
        <f t="shared" si="6"/>
        <v>2017</v>
      </c>
      <c r="D13" s="200" t="str">
        <f t="shared" si="7"/>
        <v>Freitag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IF($K$8=0,"",IF($X$1="nein","",IF($K$8="","",IF(W13="",Uebersicht!BI4,W13))))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2</v>
      </c>
      <c r="C14" s="98">
        <f t="shared" si="6"/>
        <v>2017</v>
      </c>
      <c r="D14" s="200" t="str">
        <f t="shared" si="7"/>
        <v>Samstag</v>
      </c>
      <c r="E14" s="201" t="str">
        <f>IF(ISNA(INDEX(X!$W$7:$W$20,MATCH(DATE($G$7,$E$7,A14),X!$AC$7:$AC$20,0))),"X",1)</f>
        <v>X</v>
      </c>
      <c r="F14" s="202">
        <f t="shared" si="1"/>
        <v>2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IF($K$8=0,"",IF($X$1="nein","",IF($K$8="","",IF(W14="",Uebersicht!BJ4,W14))))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2</v>
      </c>
      <c r="C15" s="98">
        <f t="shared" si="6"/>
        <v>2017</v>
      </c>
      <c r="D15" s="200" t="str">
        <f t="shared" si="7"/>
        <v>Sonntag</v>
      </c>
      <c r="E15" s="201" t="str">
        <f>IF(ISNA(INDEX(X!$W$7:$W$20,MATCH(DATE($G$7,$E$7,A15),X!$AC$7:$AC$20,0))),"X",1)</f>
        <v>X</v>
      </c>
      <c r="F15" s="202">
        <f t="shared" si="1"/>
        <v>2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IF($K$8=0,"",IF($X$1="nein","",IF($K$8="","",IF(W15="",Uebersicht!BK4,W15))))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2</v>
      </c>
      <c r="C16" s="98">
        <f t="shared" si="6"/>
        <v>2017</v>
      </c>
      <c r="D16" s="200" t="str">
        <f t="shared" si="7"/>
        <v>Montag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IF($K$8=0,"",IF($X$1="nein","",IF($K$8="","",IF(W16="",Uebersicht!BL4,W16))))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2</v>
      </c>
      <c r="C17" s="98">
        <f t="shared" si="6"/>
        <v>2017</v>
      </c>
      <c r="D17" s="200" t="str">
        <f t="shared" si="7"/>
        <v>Dienstag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2</v>
      </c>
      <c r="C18" s="98">
        <f t="shared" si="6"/>
        <v>2017</v>
      </c>
      <c r="D18" s="200" t="str">
        <f t="shared" si="7"/>
        <v>Mittwoch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2</v>
      </c>
      <c r="C19" s="98">
        <f t="shared" si="6"/>
        <v>2017</v>
      </c>
      <c r="D19" s="200" t="str">
        <f t="shared" si="7"/>
        <v>Donnerstag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2</v>
      </c>
      <c r="C20" s="98">
        <f t="shared" si="6"/>
        <v>2017</v>
      </c>
      <c r="D20" s="200" t="str">
        <f t="shared" si="7"/>
        <v>Freitag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2</v>
      </c>
      <c r="C21" s="98">
        <f t="shared" si="6"/>
        <v>2017</v>
      </c>
      <c r="D21" s="200" t="str">
        <f t="shared" si="7"/>
        <v>Samstag</v>
      </c>
      <c r="E21" s="201" t="str">
        <f>IF(ISNA(INDEX(X!$W$7:$W$20,MATCH(DATE($G$7,$E$7,A21),X!$AC$7:$AC$20,0))),"X",1)</f>
        <v>X</v>
      </c>
      <c r="F21" s="202">
        <f t="shared" si="1"/>
        <v>2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2</v>
      </c>
      <c r="C22" s="98">
        <f t="shared" si="6"/>
        <v>2017</v>
      </c>
      <c r="D22" s="200" t="str">
        <f t="shared" si="7"/>
        <v>Sonntag</v>
      </c>
      <c r="E22" s="201" t="str">
        <f>IF(ISNA(INDEX(X!$W$7:$W$20,MATCH(DATE($G$7,$E$7,A22),X!$AC$7:$AC$20,0))),"X",1)</f>
        <v>X</v>
      </c>
      <c r="F22" s="202">
        <f t="shared" si="1"/>
        <v>2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2</v>
      </c>
      <c r="C23" s="98">
        <f t="shared" si="6"/>
        <v>2017</v>
      </c>
      <c r="D23" s="200" t="str">
        <f t="shared" si="7"/>
        <v>Montag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2</v>
      </c>
      <c r="C24" s="98">
        <f t="shared" si="6"/>
        <v>2017</v>
      </c>
      <c r="D24" s="200" t="str">
        <f t="shared" si="7"/>
        <v>Dienstag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2</v>
      </c>
      <c r="C25" s="98">
        <f t="shared" si="6"/>
        <v>2017</v>
      </c>
      <c r="D25" s="200" t="str">
        <f t="shared" si="7"/>
        <v>Mittwoch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2</v>
      </c>
      <c r="C26" s="98">
        <f t="shared" si="6"/>
        <v>2017</v>
      </c>
      <c r="D26" s="200" t="str">
        <f t="shared" si="7"/>
        <v>Donnerstag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2</v>
      </c>
      <c r="C27" s="98">
        <f t="shared" si="6"/>
        <v>2017</v>
      </c>
      <c r="D27" s="200" t="str">
        <f t="shared" si="7"/>
        <v>Freitag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2</v>
      </c>
      <c r="C28" s="98">
        <f t="shared" si="6"/>
        <v>2017</v>
      </c>
      <c r="D28" s="200" t="str">
        <f t="shared" si="7"/>
        <v>Samstag</v>
      </c>
      <c r="E28" s="201" t="str">
        <f>IF(ISNA(INDEX(X!$W$7:$W$20,MATCH(DATE($G$7,$E$7,A28),X!$AC$7:$AC$20,0))),"X",1)</f>
        <v>X</v>
      </c>
      <c r="F28" s="202">
        <f t="shared" si="17"/>
        <v>2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2</v>
      </c>
      <c r="C29" s="98">
        <f t="shared" si="6"/>
        <v>2017</v>
      </c>
      <c r="D29" s="200" t="str">
        <f t="shared" si="7"/>
        <v>Sonntag</v>
      </c>
      <c r="E29" s="201" t="str">
        <f>IF(ISNA(INDEX(X!$W$7:$W$20,MATCH(DATE($G$7,$E$7,A29),X!$AC$7:$AC$20,0))),"X",1)</f>
        <v>X</v>
      </c>
      <c r="F29" s="202">
        <f t="shared" si="17"/>
        <v>2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2</v>
      </c>
      <c r="C30" s="98">
        <f t="shared" si="6"/>
        <v>2017</v>
      </c>
      <c r="D30" s="200" t="str">
        <f t="shared" si="7"/>
        <v>Montag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2</v>
      </c>
      <c r="C31" s="98">
        <f t="shared" si="6"/>
        <v>2017</v>
      </c>
      <c r="D31" s="200" t="str">
        <f t="shared" si="7"/>
        <v>Dienstag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2</v>
      </c>
      <c r="C32" s="98">
        <f t="shared" si="6"/>
        <v>2017</v>
      </c>
      <c r="D32" s="200" t="str">
        <f t="shared" si="7"/>
        <v>Mittwoch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2</v>
      </c>
      <c r="C33" s="98">
        <f t="shared" si="6"/>
        <v>2017</v>
      </c>
      <c r="D33" s="200" t="str">
        <f t="shared" si="7"/>
        <v>Donnerstag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2</v>
      </c>
      <c r="C34" s="98">
        <f t="shared" si="6"/>
        <v>2017</v>
      </c>
      <c r="D34" s="200" t="str">
        <f t="shared" si="7"/>
        <v>Freitag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2</v>
      </c>
      <c r="C35" s="98">
        <f t="shared" si="6"/>
        <v>2017</v>
      </c>
      <c r="D35" s="200" t="str">
        <f t="shared" si="7"/>
        <v>Samstag</v>
      </c>
      <c r="E35" s="201" t="str">
        <f>IF(ISNA(INDEX(X!$W$7:$W$20,MATCH(DATE($G$7,$E$7,A35),X!$AC$7:$AC$20,0))),"X",1)</f>
        <v>X</v>
      </c>
      <c r="F35" s="202">
        <f t="shared" si="17"/>
        <v>2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2</v>
      </c>
      <c r="C36" s="98">
        <f t="shared" si="6"/>
        <v>2017</v>
      </c>
      <c r="D36" s="200" t="str">
        <f t="shared" si="7"/>
        <v>Sonntag</v>
      </c>
      <c r="E36" s="201" t="str">
        <f>IF(ISNA(INDEX(X!$W$7:$W$20,MATCH(DATE($G$7,$E$7,A36),X!$AC$7:$AC$20,0))),"X",1)</f>
        <v>X</v>
      </c>
      <c r="F36" s="202">
        <f t="shared" si="17"/>
        <v>2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2</v>
      </c>
      <c r="C37" s="98">
        <f t="shared" si="6"/>
        <v>2017</v>
      </c>
      <c r="D37" s="200" t="str">
        <f t="shared" si="7"/>
        <v>Montag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2</v>
      </c>
      <c r="C38" s="98">
        <f t="shared" si="6"/>
        <v>2017</v>
      </c>
      <c r="D38" s="200" t="str">
        <f t="shared" si="7"/>
        <v>Dienstag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 t="str">
        <f>IF(U39="","",29)</f>
        <v/>
      </c>
      <c r="B39" s="98">
        <f t="shared" si="5"/>
        <v>2</v>
      </c>
      <c r="C39" s="98">
        <f t="shared" si="6"/>
        <v>2017</v>
      </c>
      <c r="D39" s="200" t="str">
        <f>IF(A39="","",TEXT(DATE($G$7,$E$7,A39),"TTTT"))</f>
        <v/>
      </c>
      <c r="E39" s="201">
        <f>IF(ISNA(INDEX(X!$W$7:$W$20,MATCH(DATE($G$7,$E$7,A39),X!$AC$7:$AC$20,0))),"X",1)</f>
        <v>1</v>
      </c>
      <c r="F39" s="202">
        <f t="shared" si="17"/>
        <v>2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 t="str">
        <f>IF(DATE(G7,E7,A38)&lt;&gt;EOMONTH(DATE(G7,E7,A38),0),DATE(G7,E7,A38)+1,IF(YEAR(G7)/400=INT(YEAR(G7)/100),DATE(G7,E7,A38)+1,""))</f>
        <v/>
      </c>
      <c r="V39" s="40"/>
      <c r="W39" s="40"/>
      <c r="X39" s="89"/>
      <c r="Y39" s="264"/>
    </row>
    <row r="40" spans="1:25" x14ac:dyDescent="0.2">
      <c r="A40" s="199"/>
      <c r="B40" s="98"/>
      <c r="C40" s="98"/>
      <c r="D40" s="200" t="str">
        <f>IF(A40="","",TEXT(DATE($G$7,$E$7,A40),"TTTT"))</f>
        <v/>
      </c>
      <c r="E40" s="201">
        <v>1</v>
      </c>
      <c r="F40" s="202">
        <f t="shared" si="17"/>
        <v>2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 t="str">
        <f>IF(OR(B41=1,B41=3,B41=5,B41=7,B41=8,B41=10,B41=12),31,"")</f>
        <v/>
      </c>
      <c r="B41" s="204"/>
      <c r="C41" s="204"/>
      <c r="D41" s="205" t="str">
        <f>IF(A41="","",TEXT(DATE($G$7,$E$7,A41),"TTTT"))</f>
        <v/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W8">
    <cfRule type="containsText" dxfId="207" priority="35" operator="containsText" text="zu wenig!">
      <formula>NOT(ISERROR(SEARCH("zu wenig!",W8)))</formula>
    </cfRule>
    <cfRule type="containsText" dxfId="206" priority="36" operator="containsText" text="zu viel!">
      <formula>NOT(ISERROR(SEARCH("zu viel!",W8)))</formula>
    </cfRule>
  </conditionalFormatting>
  <conditionalFormatting sqref="A11:D41 G11:K41">
    <cfRule type="expression" dxfId="205" priority="32">
      <formula>$F11=2</formula>
    </cfRule>
    <cfRule type="expression" dxfId="204" priority="34">
      <formula>$F11=1</formula>
    </cfRule>
  </conditionalFormatting>
  <conditionalFormatting sqref="E11:E41">
    <cfRule type="expression" dxfId="203" priority="26">
      <formula>$F11=2</formula>
    </cfRule>
    <cfRule type="expression" dxfId="202" priority="28">
      <formula>$F11=1</formula>
    </cfRule>
  </conditionalFormatting>
  <conditionalFormatting sqref="W17">
    <cfRule type="containsText" dxfId="201" priority="21" operator="containsText" text="zu wenig!">
      <formula>NOT(ISERROR(SEARCH("zu wenig!",W17)))</formula>
    </cfRule>
    <cfRule type="containsText" dxfId="200" priority="22" operator="containsText" text="zu viel!">
      <formula>NOT(ISERROR(SEARCH("zu viel!",W17)))</formula>
    </cfRule>
  </conditionalFormatting>
  <conditionalFormatting sqref="V10:X17">
    <cfRule type="expression" dxfId="199" priority="20">
      <formula>$K$8=""</formula>
    </cfRule>
  </conditionalFormatting>
  <conditionalFormatting sqref="L11:L41">
    <cfRule type="expression" dxfId="198" priority="17">
      <formula>$F11=2</formula>
    </cfRule>
    <cfRule type="expression" dxfId="197" priority="19">
      <formula>$F11=1</formula>
    </cfRule>
  </conditionalFormatting>
  <conditionalFormatting sqref="F11:F41">
    <cfRule type="expression" dxfId="23" priority="5">
      <formula>$F11=2</formula>
    </cfRule>
    <cfRule type="expression" dxfId="22" priority="7">
      <formula>$F11=1</formula>
    </cfRule>
  </conditionalFormatting>
  <conditionalFormatting sqref="S10:T48">
    <cfRule type="expression" dxfId="196" priority="4">
      <formula>$A$9=""</formula>
    </cfRule>
  </conditionalFormatting>
  <conditionalFormatting sqref="S11:T41">
    <cfRule type="expression" dxfId="195" priority="2">
      <formula>$F11=1</formula>
    </cfRule>
    <cfRule type="expression" dxfId="194" priority="3">
      <formula>$F11=2</formula>
    </cfRule>
  </conditionalFormatting>
  <conditionalFormatting sqref="S6:T49">
    <cfRule type="expression" dxfId="193" priority="1">
      <formula>$M$8=""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  <rowBreaks count="1" manualBreakCount="1">
    <brk id="57" max="10" man="1"/>
  </rowBreaks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Y58"/>
  <sheetViews>
    <sheetView zoomScaleNormal="100" workbookViewId="0">
      <selection activeCell="K29" sqref="K29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IF(Uebersicht!AX5&gt;0,0,"")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IF(Uebersicht!AY5&gt;0,32,"")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>
        <f>IF($K$7=0,0,IF(Jan!$X$1="nein",0,IF($X$1="nein",0,IF(W3&gt;0,W3,Uebersicht!BC5))))</f>
        <v>0</v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IF(AND(YEAR(TODAY())=G7,MONTH(TODAY())&gt;=E7,K7&gt;0),Feb!I48,0)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>
        <f>IF($K$7=0,0,IF(Jan!$X$1="nein",0,IF($X$1="nein",0,IF(W4&gt;0,W4,Uebersicht!BD5))))</f>
        <v>0</v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>
        <f>IF($K$7=0,0,IF(Jan!$X$1="nein",0,IF($X$1="nein",0,IF(W5&gt;0,W5,Uebersicht!BE5))))</f>
        <v>0</v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>
        <f>IF($K$7=0,0,IF(Jan!$X$1="nein",0,IF($X$1="nein",0,IF(W6&gt;0,W6,Uebersicht!BF5))))</f>
        <v>0</v>
      </c>
      <c r="Y6" s="188">
        <f t="shared" si="0"/>
        <v>1</v>
      </c>
    </row>
    <row r="7" spans="1:25" x14ac:dyDescent="0.2">
      <c r="A7" s="286" t="s">
        <v>16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3</v>
      </c>
      <c r="F7" s="166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Uebersicht!AP9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>
        <f>IF($K$7=0,0,IF(Jan!$X$1="nein",0,IF($X$1="nein",0,IF(W7&gt;0,W7,Uebersicht!BG5))))</f>
        <v>0</v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IF(Uebersicht!AP10=K7,"",Uebersicht!AP10)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Feb!Q42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3</v>
      </c>
      <c r="C11" s="194">
        <f>$G$7</f>
        <v>2017</v>
      </c>
      <c r="D11" s="195" t="str">
        <f>TEXT(DATE($G$7,$E$7,A11),"TTTT")</f>
        <v>Mittwoch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3</v>
      </c>
      <c r="C12" s="98">
        <f t="shared" ref="C12:C41" si="6">$G$7</f>
        <v>2017</v>
      </c>
      <c r="D12" s="200" t="str">
        <f t="shared" ref="D12:D40" si="7">TEXT(DATE($G$7,$E$7,A12),"TTTT")</f>
        <v>Donnerstag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>
        <f>IF($K$7=0,0,IF($X$1="nein",0,IF($K$8="",0,IF(W12="",Uebersicht!BH5,W12))))</f>
        <v>0</v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3</v>
      </c>
      <c r="C13" s="98">
        <f t="shared" si="6"/>
        <v>2017</v>
      </c>
      <c r="D13" s="200" t="str">
        <f t="shared" si="7"/>
        <v>Freitag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>
        <f>IF($K$7=0,0,IF($X$1="nein",0,IF($K$8="",0,IF(W13="",Uebersicht!BI5,W13))))</f>
        <v>0</v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3</v>
      </c>
      <c r="C14" s="98">
        <f t="shared" si="6"/>
        <v>2017</v>
      </c>
      <c r="D14" s="200" t="str">
        <f t="shared" si="7"/>
        <v>Samstag</v>
      </c>
      <c r="E14" s="201" t="str">
        <f>IF(ISNA(INDEX(X!$W$7:$W$20,MATCH(DATE($G$7,$E$7,A14),X!$AC$7:$AC$20,0))),"X",1)</f>
        <v>X</v>
      </c>
      <c r="F14" s="202">
        <f t="shared" si="1"/>
        <v>2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>
        <f>IF($K$7=0,0,IF($X$1="nein",0,IF($K$8="",0,IF(W14="",Uebersicht!BJ5,W14))))</f>
        <v>0</v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3</v>
      </c>
      <c r="C15" s="98">
        <f t="shared" si="6"/>
        <v>2017</v>
      </c>
      <c r="D15" s="200" t="str">
        <f t="shared" si="7"/>
        <v>Sonntag</v>
      </c>
      <c r="E15" s="201" t="str">
        <f>IF(ISNA(INDEX(X!$W$7:$W$20,MATCH(DATE($G$7,$E$7,A15),X!$AC$7:$AC$20,0))),"X",1)</f>
        <v>X</v>
      </c>
      <c r="F15" s="202">
        <f t="shared" si="1"/>
        <v>2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>
        <f>IF($K$7=0,0,IF($X$1="nein",0,IF($K$8="",0,IF(W15="",Uebersicht!BK5,W15))))</f>
        <v>0</v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3</v>
      </c>
      <c r="C16" s="98">
        <f t="shared" si="6"/>
        <v>2017</v>
      </c>
      <c r="D16" s="200" t="str">
        <f t="shared" si="7"/>
        <v>Montag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>
        <f>IF($K$7=0,0,IF($X$1="nein",0,IF($K$8="",0,IF(W16="",Uebersicht!BL5,W16))))</f>
        <v>0</v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3</v>
      </c>
      <c r="C17" s="98">
        <f t="shared" si="6"/>
        <v>2017</v>
      </c>
      <c r="D17" s="200" t="str">
        <f t="shared" si="7"/>
        <v>Dienstag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3</v>
      </c>
      <c r="C18" s="98">
        <f t="shared" si="6"/>
        <v>2017</v>
      </c>
      <c r="D18" s="200" t="str">
        <f t="shared" si="7"/>
        <v>Mittwoch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3</v>
      </c>
      <c r="C19" s="98">
        <f t="shared" si="6"/>
        <v>2017</v>
      </c>
      <c r="D19" s="200" t="str">
        <f t="shared" si="7"/>
        <v>Donnerstag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3</v>
      </c>
      <c r="C20" s="98">
        <f t="shared" si="6"/>
        <v>2017</v>
      </c>
      <c r="D20" s="200" t="str">
        <f t="shared" si="7"/>
        <v>Freitag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3</v>
      </c>
      <c r="C21" s="98">
        <f t="shared" si="6"/>
        <v>2017</v>
      </c>
      <c r="D21" s="200" t="str">
        <f t="shared" si="7"/>
        <v>Samstag</v>
      </c>
      <c r="E21" s="201" t="str">
        <f>IF(ISNA(INDEX(X!$W$7:$W$20,MATCH(DATE($G$7,$E$7,A21),X!$AC$7:$AC$20,0))),"X",1)</f>
        <v>X</v>
      </c>
      <c r="F21" s="202">
        <f t="shared" si="1"/>
        <v>2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3</v>
      </c>
      <c r="C22" s="98">
        <f t="shared" si="6"/>
        <v>2017</v>
      </c>
      <c r="D22" s="200" t="str">
        <f t="shared" si="7"/>
        <v>Sonntag</v>
      </c>
      <c r="E22" s="201" t="str">
        <f>IF(ISNA(INDEX(X!$W$7:$W$20,MATCH(DATE($G$7,$E$7,A22),X!$AC$7:$AC$20,0))),"X",1)</f>
        <v>X</v>
      </c>
      <c r="F22" s="202">
        <f t="shared" si="1"/>
        <v>2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3</v>
      </c>
      <c r="C23" s="98">
        <f t="shared" si="6"/>
        <v>2017</v>
      </c>
      <c r="D23" s="200" t="str">
        <f t="shared" si="7"/>
        <v>Montag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3</v>
      </c>
      <c r="C24" s="98">
        <f t="shared" si="6"/>
        <v>2017</v>
      </c>
      <c r="D24" s="200" t="str">
        <f t="shared" si="7"/>
        <v>Dienstag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3</v>
      </c>
      <c r="C25" s="98">
        <f t="shared" si="6"/>
        <v>2017</v>
      </c>
      <c r="D25" s="200" t="str">
        <f t="shared" si="7"/>
        <v>Mittwoch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3</v>
      </c>
      <c r="C26" s="98">
        <f t="shared" si="6"/>
        <v>2017</v>
      </c>
      <c r="D26" s="200" t="str">
        <f t="shared" si="7"/>
        <v>Donnerstag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3</v>
      </c>
      <c r="C27" s="98">
        <f t="shared" si="6"/>
        <v>2017</v>
      </c>
      <c r="D27" s="200" t="str">
        <f t="shared" si="7"/>
        <v>Freitag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3</v>
      </c>
      <c r="C28" s="98">
        <f t="shared" si="6"/>
        <v>2017</v>
      </c>
      <c r="D28" s="200" t="str">
        <f t="shared" si="7"/>
        <v>Samstag</v>
      </c>
      <c r="E28" s="201" t="str">
        <f>IF(ISNA(INDEX(X!$W$7:$W$20,MATCH(DATE($G$7,$E$7,A28),X!$AC$7:$AC$20,0))),"X",1)</f>
        <v>X</v>
      </c>
      <c r="F28" s="202">
        <f t="shared" si="17"/>
        <v>2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3</v>
      </c>
      <c r="C29" s="98">
        <f t="shared" si="6"/>
        <v>2017</v>
      </c>
      <c r="D29" s="200" t="str">
        <f t="shared" si="7"/>
        <v>Sonntag</v>
      </c>
      <c r="E29" s="201" t="str">
        <f>IF(ISNA(INDEX(X!$W$7:$W$20,MATCH(DATE($G$7,$E$7,A29),X!$AC$7:$AC$20,0))),"X",1)</f>
        <v>X</v>
      </c>
      <c r="F29" s="202">
        <f t="shared" si="17"/>
        <v>2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3</v>
      </c>
      <c r="C30" s="98">
        <f t="shared" si="6"/>
        <v>2017</v>
      </c>
      <c r="D30" s="200" t="str">
        <f t="shared" si="7"/>
        <v>Montag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3</v>
      </c>
      <c r="C31" s="98">
        <f t="shared" si="6"/>
        <v>2017</v>
      </c>
      <c r="D31" s="200" t="str">
        <f t="shared" si="7"/>
        <v>Dienstag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3</v>
      </c>
      <c r="C32" s="98">
        <f t="shared" si="6"/>
        <v>2017</v>
      </c>
      <c r="D32" s="200" t="str">
        <f t="shared" si="7"/>
        <v>Mittwoch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3</v>
      </c>
      <c r="C33" s="98">
        <f t="shared" si="6"/>
        <v>2017</v>
      </c>
      <c r="D33" s="200" t="str">
        <f t="shared" si="7"/>
        <v>Donnerstag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3</v>
      </c>
      <c r="C34" s="98">
        <f t="shared" si="6"/>
        <v>2017</v>
      </c>
      <c r="D34" s="200" t="str">
        <f t="shared" si="7"/>
        <v>Freitag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3</v>
      </c>
      <c r="C35" s="98">
        <f t="shared" si="6"/>
        <v>2017</v>
      </c>
      <c r="D35" s="200" t="str">
        <f t="shared" si="7"/>
        <v>Samstag</v>
      </c>
      <c r="E35" s="201" t="str">
        <f>IF(ISNA(INDEX(X!$W$7:$W$20,MATCH(DATE($G$7,$E$7,A35),X!$AC$7:$AC$20,0))),"X",1)</f>
        <v>X</v>
      </c>
      <c r="F35" s="202">
        <f t="shared" si="17"/>
        <v>2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3</v>
      </c>
      <c r="C36" s="98">
        <f t="shared" si="6"/>
        <v>2017</v>
      </c>
      <c r="D36" s="200" t="str">
        <f t="shared" si="7"/>
        <v>Sonntag</v>
      </c>
      <c r="E36" s="201" t="str">
        <f>IF(ISNA(INDEX(X!$W$7:$W$20,MATCH(DATE($G$7,$E$7,A36),X!$AC$7:$AC$20,0))),"X",1)</f>
        <v>X</v>
      </c>
      <c r="F36" s="202">
        <f t="shared" si="17"/>
        <v>2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3</v>
      </c>
      <c r="C37" s="98">
        <f t="shared" si="6"/>
        <v>2017</v>
      </c>
      <c r="D37" s="200" t="str">
        <f t="shared" si="7"/>
        <v>Montag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3</v>
      </c>
      <c r="C38" s="98">
        <f t="shared" si="6"/>
        <v>2017</v>
      </c>
      <c r="D38" s="200" t="str">
        <f t="shared" si="7"/>
        <v>Dienstag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3</v>
      </c>
      <c r="C39" s="98">
        <f t="shared" si="6"/>
        <v>2017</v>
      </c>
      <c r="D39" s="200" t="str">
        <f t="shared" si="7"/>
        <v>Mittwoch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42823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3</v>
      </c>
      <c r="C40" s="98">
        <f t="shared" si="6"/>
        <v>2017</v>
      </c>
      <c r="D40" s="200" t="str">
        <f t="shared" si="7"/>
        <v>Donnerstag</v>
      </c>
      <c r="E40" s="201" t="str">
        <f>IF(ISNA(INDEX(X!$W$7:$W$20,MATCH(DATE($G$7,$E$7,A40),X!$AC$7:$AC$20,0))),"X",1)</f>
        <v>X</v>
      </c>
      <c r="F40" s="202">
        <f t="shared" si="17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>
        <f>IF(OR(B41=1,B41=3,B41=5,B41=7,B41=8,B41=10,B41=12),31,"")</f>
        <v>31</v>
      </c>
      <c r="B41" s="204">
        <f t="shared" si="5"/>
        <v>3</v>
      </c>
      <c r="C41" s="204">
        <f t="shared" si="6"/>
        <v>2017</v>
      </c>
      <c r="D41" s="205" t="str">
        <f>IF(A41="","",TEXT(DATE($G$7,$E$7,A41),"TTTT"))</f>
        <v>Freitag</v>
      </c>
      <c r="E41" s="206" t="str">
        <f>IF(ISNA(INDEX(X!$W$7:$W$20,MATCH(DATE($G$7,$E$7,A41),X!$AC$7:$AC$20,0))),"X",1)</f>
        <v>X</v>
      </c>
      <c r="F41" s="207">
        <f t="shared" si="17"/>
        <v>1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D41 G11:K41">
    <cfRule type="expression" dxfId="192" priority="52">
      <formula>$F11=2</formula>
    </cfRule>
    <cfRule type="expression" dxfId="191" priority="54">
      <formula>$F11=1</formula>
    </cfRule>
  </conditionalFormatting>
  <conditionalFormatting sqref="E11:E41">
    <cfRule type="expression" dxfId="190" priority="46">
      <formula>$F11=2</formula>
    </cfRule>
    <cfRule type="expression" dxfId="189" priority="48">
      <formula>$F11=1</formula>
    </cfRule>
  </conditionalFormatting>
  <conditionalFormatting sqref="L11:L41">
    <cfRule type="expression" dxfId="188" priority="20">
      <formula>$F11=2</formula>
    </cfRule>
    <cfRule type="expression" dxfId="187" priority="22">
      <formula>$F11=1</formula>
    </cfRule>
  </conditionalFormatting>
  <conditionalFormatting sqref="W8">
    <cfRule type="containsText" dxfId="186" priority="18" operator="containsText" text="zu wenig!">
      <formula>NOT(ISERROR(SEARCH("zu wenig!",W8)))</formula>
    </cfRule>
    <cfRule type="containsText" dxfId="185" priority="19" operator="containsText" text="zu viel!">
      <formula>NOT(ISERROR(SEARCH("zu viel!",W8)))</formula>
    </cfRule>
  </conditionalFormatting>
  <conditionalFormatting sqref="W17">
    <cfRule type="containsText" dxfId="184" priority="16" operator="containsText" text="zu wenig!">
      <formula>NOT(ISERROR(SEARCH("zu wenig!",W17)))</formula>
    </cfRule>
    <cfRule type="containsText" dxfId="183" priority="17" operator="containsText" text="zu viel!">
      <formula>NOT(ISERROR(SEARCH("zu viel!",W17)))</formula>
    </cfRule>
  </conditionalFormatting>
  <conditionalFormatting sqref="V10:W17">
    <cfRule type="expression" dxfId="182" priority="15">
      <formula>$K$8=""</formula>
    </cfRule>
  </conditionalFormatting>
  <conditionalFormatting sqref="X10:X17">
    <cfRule type="expression" dxfId="181" priority="11">
      <formula>$K$8=""</formula>
    </cfRule>
  </conditionalFormatting>
  <conditionalFormatting sqref="F11:F41">
    <cfRule type="expression" dxfId="21" priority="5">
      <formula>$F11=2</formula>
    </cfRule>
    <cfRule type="expression" dxfId="20" priority="7">
      <formula>$F11=1</formula>
    </cfRule>
  </conditionalFormatting>
  <conditionalFormatting sqref="S10:T48">
    <cfRule type="expression" dxfId="180" priority="4">
      <formula>$A$9=""</formula>
    </cfRule>
  </conditionalFormatting>
  <conditionalFormatting sqref="S11:T41">
    <cfRule type="expression" dxfId="179" priority="2">
      <formula>$F11=1</formula>
    </cfRule>
    <cfRule type="expression" dxfId="178" priority="3">
      <formula>$F11=2</formula>
    </cfRule>
  </conditionalFormatting>
  <conditionalFormatting sqref="S6:T49">
    <cfRule type="expression" dxfId="177" priority="1">
      <formula>$M$8=""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  <colBreaks count="1" manualBreakCount="1">
    <brk id="1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IF(Uebersicht!AX6&gt;0,0,"")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IF(Uebersicht!AY6&gt;0,32,"")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IF($K$7=0,"",IF(Jan!$X$1="nein","",IF($X$1="nein","",IF(W3&gt;0,W3,Uebersicht!BC6))))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IF(AND(YEAR(TODAY())=G7,MONTH(TODAY())&gt;=E7,K7&gt;0),Mrz!I48,0)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IF($K$7=0,"",IF(Jan!$X$1="nein","",IF($X$1="nein","",IF(W4&gt;0,W4,Uebersicht!BD6))))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IF($K$7=0,"",IF(Jan!$X$1="nein","",IF($X$1="nein","",IF(W5&gt;0,W5,Uebersicht!BE6))))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IF($K$7=0,"",IF(Jan!$X$1="nein","",IF($X$1="nein","",IF(W6&gt;0,W6,Uebersicht!BF6))))</f>
        <v/>
      </c>
      <c r="Y6" s="188">
        <f t="shared" si="0"/>
        <v>1</v>
      </c>
    </row>
    <row r="7" spans="1:25" x14ac:dyDescent="0.2">
      <c r="A7" s="286" t="s">
        <v>17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4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Uebersicht!AP11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IF($K$7=0,"",IF(Jan!$X$1="nein","",IF($X$1="nein","",IF(W7&gt;0,W7,Uebersicht!BG6))))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IF(Uebersicht!AP12=K7,"",Uebersicht!AP12)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Mrz!Q42</f>
        <v>0</v>
      </c>
      <c r="R10" s="121"/>
      <c r="S10" s="230" t="s">
        <v>100</v>
      </c>
      <c r="T10" s="231" t="s">
        <v>101</v>
      </c>
      <c r="U10" s="94"/>
      <c r="V10" s="294" t="s">
        <v>92</v>
      </c>
      <c r="W10" s="294"/>
      <c r="X10" s="94"/>
      <c r="Y10" s="189"/>
    </row>
    <row r="11" spans="1:25" x14ac:dyDescent="0.2">
      <c r="A11" s="227">
        <v>1</v>
      </c>
      <c r="B11" s="98">
        <f>$E$7</f>
        <v>4</v>
      </c>
      <c r="C11" s="98">
        <f>$G$7</f>
        <v>2017</v>
      </c>
      <c r="D11" s="200" t="str">
        <f>TEXT(DATE($G$7,$E$7,A11),"TTTT")</f>
        <v>Samstag</v>
      </c>
      <c r="E11" s="201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2</v>
      </c>
      <c r="G11" s="228"/>
      <c r="H11" s="226"/>
      <c r="I11" s="219" t="str">
        <f>IF($K$7=0,"",IF(AND(OR(SUM(Uebersicht!$B$36:$B$40)&gt;0,SUM($W$3:$W$7)&gt;0),G11&gt;0,H11&gt;0),M11,IF(AND(OR(SUM(Uebersicht!$B$36:$B$40)&gt;0,SUM($W$3:$W$7)&gt;0),G11="",H11=""),IF(P11=0,"",P11),M11)))</f>
        <v/>
      </c>
      <c r="J11" s="220" t="str">
        <f>IF(K11="Resturlaub",(I11/24)/60,IF(O11=0,"",O11))</f>
        <v/>
      </c>
      <c r="K11" s="229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4</v>
      </c>
      <c r="C12" s="98">
        <f t="shared" ref="C12:C41" si="6">$G$7</f>
        <v>2017</v>
      </c>
      <c r="D12" s="200" t="str">
        <f t="shared" ref="D12:D40" si="7">TEXT(DATE($G$7,$E$7,A12),"TTTT")</f>
        <v>Sonntag</v>
      </c>
      <c r="E12" s="201" t="str">
        <f>IF(ISNA(INDEX(X!$W$7:$W$20,MATCH(DATE($G$7,$E$7,A12),X!$AC$7:$AC$20,0))),"X",1)</f>
        <v>X</v>
      </c>
      <c r="F12" s="202">
        <f t="shared" si="1"/>
        <v>2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IF($K$7=0,"",IF($X$1="nein","",IF($K$8="","",IF(W12="",Uebersicht!BH6,W12))))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4</v>
      </c>
      <c r="C13" s="98">
        <f t="shared" si="6"/>
        <v>2017</v>
      </c>
      <c r="D13" s="200" t="str">
        <f t="shared" si="7"/>
        <v>Montag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IF($K$7=0,"",IF($X$1="nein","",IF($K$8="","",IF(W13="",Uebersicht!BI6,W13))))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4</v>
      </c>
      <c r="C14" s="98">
        <f t="shared" si="6"/>
        <v>2017</v>
      </c>
      <c r="D14" s="200" t="str">
        <f t="shared" si="7"/>
        <v>Dienstag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IF($K$7=0,"",IF($X$1="nein","",IF($K$8="","",IF(W14="",Uebersicht!BJ6,W14))))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4</v>
      </c>
      <c r="C15" s="98">
        <f t="shared" si="6"/>
        <v>2017</v>
      </c>
      <c r="D15" s="200" t="str">
        <f t="shared" si="7"/>
        <v>Mittwoch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IF($K$7=0,"",IF($X$1="nein","",IF($K$8="","",IF(W15="",Uebersicht!BK6,W15))))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4</v>
      </c>
      <c r="C16" s="98">
        <f t="shared" si="6"/>
        <v>2017</v>
      </c>
      <c r="D16" s="200" t="str">
        <f t="shared" si="7"/>
        <v>Donnerstag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IF($K$7=0,"",IF($X$1="nein","",IF($K$8="","",IF(W16="",Uebersicht!BL6,W16))))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4</v>
      </c>
      <c r="C17" s="98">
        <f t="shared" si="6"/>
        <v>2017</v>
      </c>
      <c r="D17" s="200" t="str">
        <f t="shared" si="7"/>
        <v>Freitag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4</v>
      </c>
      <c r="C18" s="98">
        <f t="shared" si="6"/>
        <v>2017</v>
      </c>
      <c r="D18" s="200" t="str">
        <f t="shared" si="7"/>
        <v>Samstag</v>
      </c>
      <c r="E18" s="201" t="str">
        <f>IF(ISNA(INDEX(X!$W$7:$W$20,MATCH(DATE($G$7,$E$7,A18),X!$AC$7:$AC$20,0))),"X",1)</f>
        <v>X</v>
      </c>
      <c r="F18" s="202">
        <f t="shared" si="1"/>
        <v>2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4</v>
      </c>
      <c r="C19" s="98">
        <f t="shared" si="6"/>
        <v>2017</v>
      </c>
      <c r="D19" s="200" t="str">
        <f t="shared" si="7"/>
        <v>Sonntag</v>
      </c>
      <c r="E19" s="201" t="str">
        <f>IF(ISNA(INDEX(X!$W$7:$W$20,MATCH(DATE($G$7,$E$7,A19),X!$AC$7:$AC$20,0))),"X",1)</f>
        <v>X</v>
      </c>
      <c r="F19" s="202">
        <f t="shared" si="1"/>
        <v>2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4</v>
      </c>
      <c r="C20" s="98">
        <f t="shared" si="6"/>
        <v>2017</v>
      </c>
      <c r="D20" s="200" t="str">
        <f t="shared" si="7"/>
        <v>Montag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4</v>
      </c>
      <c r="C21" s="98">
        <f t="shared" si="6"/>
        <v>2017</v>
      </c>
      <c r="D21" s="200" t="str">
        <f t="shared" si="7"/>
        <v>Dienstag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4</v>
      </c>
      <c r="C22" s="98">
        <f t="shared" si="6"/>
        <v>2017</v>
      </c>
      <c r="D22" s="200" t="str">
        <f t="shared" si="7"/>
        <v>Mittwoch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4</v>
      </c>
      <c r="C23" s="98">
        <f t="shared" si="6"/>
        <v>2017</v>
      </c>
      <c r="D23" s="200" t="str">
        <f t="shared" si="7"/>
        <v>Donnerstag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4</v>
      </c>
      <c r="C24" s="98">
        <f t="shared" si="6"/>
        <v>2017</v>
      </c>
      <c r="D24" s="200" t="str">
        <f t="shared" si="7"/>
        <v>Freitag</v>
      </c>
      <c r="E24" s="201">
        <f>IF(ISNA(INDEX(X!$W$7:$W$20,MATCH(DATE($G$7,$E$7,A24),X!$AC$7:$AC$20,0))),"X",1)</f>
        <v>1</v>
      </c>
      <c r="F24" s="202">
        <f t="shared" si="1"/>
        <v>2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4</v>
      </c>
      <c r="C25" s="98">
        <f t="shared" si="6"/>
        <v>2017</v>
      </c>
      <c r="D25" s="200" t="str">
        <f t="shared" si="7"/>
        <v>Samstag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2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4</v>
      </c>
      <c r="C26" s="98">
        <f t="shared" si="6"/>
        <v>2017</v>
      </c>
      <c r="D26" s="200" t="str">
        <f t="shared" si="7"/>
        <v>Sonntag</v>
      </c>
      <c r="E26" s="201">
        <f>IF(ISNA(INDEX(X!$W$7:$W$20,MATCH(DATE($G$7,$E$7,A26),X!$AC$7:$AC$20,0))),"X",1)</f>
        <v>1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2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4</v>
      </c>
      <c r="C27" s="98">
        <f t="shared" si="6"/>
        <v>2017</v>
      </c>
      <c r="D27" s="200" t="str">
        <f t="shared" si="7"/>
        <v>Montag</v>
      </c>
      <c r="E27" s="201">
        <f>IF(ISNA(INDEX(X!$W$7:$W$20,MATCH(DATE($G$7,$E$7,A27),X!$AC$7:$AC$20,0))),"X",1)</f>
        <v>1</v>
      </c>
      <c r="F27" s="202">
        <f t="shared" si="17"/>
        <v>2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4</v>
      </c>
      <c r="C28" s="98">
        <f t="shared" si="6"/>
        <v>2017</v>
      </c>
      <c r="D28" s="200" t="str">
        <f t="shared" si="7"/>
        <v>Dienstag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4</v>
      </c>
      <c r="C29" s="98">
        <f t="shared" si="6"/>
        <v>2017</v>
      </c>
      <c r="D29" s="200" t="str">
        <f t="shared" si="7"/>
        <v>Mittwoch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4</v>
      </c>
      <c r="C30" s="98">
        <f t="shared" si="6"/>
        <v>2017</v>
      </c>
      <c r="D30" s="200" t="str">
        <f t="shared" si="7"/>
        <v>Donnerstag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4</v>
      </c>
      <c r="C31" s="98">
        <f t="shared" si="6"/>
        <v>2017</v>
      </c>
      <c r="D31" s="200" t="str">
        <f t="shared" si="7"/>
        <v>Freitag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4</v>
      </c>
      <c r="C32" s="98">
        <f t="shared" si="6"/>
        <v>2017</v>
      </c>
      <c r="D32" s="200" t="str">
        <f t="shared" si="7"/>
        <v>Samstag</v>
      </c>
      <c r="E32" s="201" t="str">
        <f>IF(ISNA(INDEX(X!$W$7:$W$20,MATCH(DATE($G$7,$E$7,A32),X!$AC$7:$AC$20,0))),"X",1)</f>
        <v>X</v>
      </c>
      <c r="F32" s="202">
        <f t="shared" si="17"/>
        <v>2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4</v>
      </c>
      <c r="C33" s="98">
        <f t="shared" si="6"/>
        <v>2017</v>
      </c>
      <c r="D33" s="200" t="str">
        <f t="shared" si="7"/>
        <v>Sonntag</v>
      </c>
      <c r="E33" s="201" t="str">
        <f>IF(ISNA(INDEX(X!$W$7:$W$20,MATCH(DATE($G$7,$E$7,A33),X!$AC$7:$AC$20,0))),"X",1)</f>
        <v>X</v>
      </c>
      <c r="F33" s="202">
        <f t="shared" si="17"/>
        <v>2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4</v>
      </c>
      <c r="C34" s="98">
        <f t="shared" si="6"/>
        <v>2017</v>
      </c>
      <c r="D34" s="200" t="str">
        <f t="shared" si="7"/>
        <v>Montag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4</v>
      </c>
      <c r="C35" s="98">
        <f t="shared" si="6"/>
        <v>2017</v>
      </c>
      <c r="D35" s="200" t="str">
        <f t="shared" si="7"/>
        <v>Dienstag</v>
      </c>
      <c r="E35" s="201" t="str">
        <f>IF(ISNA(INDEX(X!$W$7:$W$20,MATCH(DATE($G$7,$E$7,A35),X!$AC$7:$AC$20,0))),"X",1)</f>
        <v>X</v>
      </c>
      <c r="F35" s="202">
        <f t="shared" si="17"/>
        <v>1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4</v>
      </c>
      <c r="C36" s="98">
        <f t="shared" si="6"/>
        <v>2017</v>
      </c>
      <c r="D36" s="200" t="str">
        <f t="shared" si="7"/>
        <v>Mittwoch</v>
      </c>
      <c r="E36" s="201" t="str">
        <f>IF(ISNA(INDEX(X!$W$7:$W$20,MATCH(DATE($G$7,$E$7,A36),X!$AC$7:$AC$20,0))),"X",1)</f>
        <v>X</v>
      </c>
      <c r="F36" s="202">
        <f t="shared" si="17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4</v>
      </c>
      <c r="C37" s="98">
        <f t="shared" si="6"/>
        <v>2017</v>
      </c>
      <c r="D37" s="200" t="str">
        <f t="shared" si="7"/>
        <v>Donnerstag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4</v>
      </c>
      <c r="C38" s="98">
        <f t="shared" si="6"/>
        <v>2017</v>
      </c>
      <c r="D38" s="200" t="str">
        <f t="shared" si="7"/>
        <v>Freitag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4</v>
      </c>
      <c r="C39" s="98">
        <f t="shared" si="6"/>
        <v>2017</v>
      </c>
      <c r="D39" s="200" t="str">
        <f t="shared" si="7"/>
        <v>Samstag</v>
      </c>
      <c r="E39" s="201" t="str">
        <f>IF(ISNA(INDEX(X!$W$7:$W$20,MATCH(DATE($G$7,$E$7,A39),X!$AC$7:$AC$20,0))),"X",1)</f>
        <v>X</v>
      </c>
      <c r="F39" s="202">
        <f t="shared" si="17"/>
        <v>2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42854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4</v>
      </c>
      <c r="C40" s="98">
        <f t="shared" si="6"/>
        <v>2017</v>
      </c>
      <c r="D40" s="200" t="str">
        <f t="shared" si="7"/>
        <v>Sonntag</v>
      </c>
      <c r="E40" s="201" t="str">
        <f>IF(ISNA(INDEX(X!$W$7:$W$20,MATCH(DATE($G$7,$E$7,A40),X!$AC$7:$AC$20,0))),"X",1)</f>
        <v>X</v>
      </c>
      <c r="F40" s="202">
        <f t="shared" si="17"/>
        <v>2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 t="str">
        <f>IF(OR(B41=1,B41=3,B41=5,B41=7,B41=8,B41=10,B41=12),31,"")</f>
        <v/>
      </c>
      <c r="B41" s="204">
        <f t="shared" si="5"/>
        <v>4</v>
      </c>
      <c r="C41" s="204">
        <f t="shared" si="6"/>
        <v>2017</v>
      </c>
      <c r="D41" s="205" t="str">
        <f>IF(A41="","",TEXT(DATE($G$7,$E$7,A41),"TTTT"))</f>
        <v/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D41 G11:K41">
    <cfRule type="expression" dxfId="176" priority="58">
      <formula>$F11=2</formula>
    </cfRule>
    <cfRule type="expression" dxfId="175" priority="60">
      <formula>$F11=1</formula>
    </cfRule>
  </conditionalFormatting>
  <conditionalFormatting sqref="E11:E41">
    <cfRule type="expression" dxfId="174" priority="52">
      <formula>$F11=2</formula>
    </cfRule>
    <cfRule type="expression" dxfId="173" priority="54">
      <formula>$F11=1</formula>
    </cfRule>
  </conditionalFormatting>
  <conditionalFormatting sqref="L11:L41">
    <cfRule type="expression" dxfId="172" priority="26">
      <formula>$F11=2</formula>
    </cfRule>
    <cfRule type="expression" dxfId="171" priority="28">
      <formula>$F11=1</formula>
    </cfRule>
  </conditionalFormatting>
  <conditionalFormatting sqref="W8">
    <cfRule type="containsText" dxfId="170" priority="24" operator="containsText" text="zu wenig!">
      <formula>NOT(ISERROR(SEARCH("zu wenig!",W8)))</formula>
    </cfRule>
    <cfRule type="containsText" dxfId="169" priority="25" operator="containsText" text="zu viel!">
      <formula>NOT(ISERROR(SEARCH("zu viel!",W8)))</formula>
    </cfRule>
  </conditionalFormatting>
  <conditionalFormatting sqref="W17">
    <cfRule type="containsText" dxfId="168" priority="22" operator="containsText" text="zu wenig!">
      <formula>NOT(ISERROR(SEARCH("zu wenig!",W17)))</formula>
    </cfRule>
    <cfRule type="containsText" dxfId="167" priority="23" operator="containsText" text="zu viel!">
      <formula>NOT(ISERROR(SEARCH("zu viel!",W17)))</formula>
    </cfRule>
  </conditionalFormatting>
  <conditionalFormatting sqref="V10:W17">
    <cfRule type="expression" dxfId="166" priority="21">
      <formula>$K$8=""</formula>
    </cfRule>
  </conditionalFormatting>
  <conditionalFormatting sqref="X10:X17">
    <cfRule type="expression" dxfId="165" priority="16">
      <formula>$K$8=""</formula>
    </cfRule>
  </conditionalFormatting>
  <conditionalFormatting sqref="S10:T48">
    <cfRule type="expression" dxfId="162" priority="6">
      <formula>$A$9=""</formula>
    </cfRule>
  </conditionalFormatting>
  <conditionalFormatting sqref="S11:T41">
    <cfRule type="expression" dxfId="161" priority="4">
      <formula>$F11=1</formula>
    </cfRule>
    <cfRule type="expression" dxfId="160" priority="5">
      <formula>$F11=2</formula>
    </cfRule>
  </conditionalFormatting>
  <conditionalFormatting sqref="S6:T49">
    <cfRule type="expression" dxfId="159" priority="3">
      <formula>$M$8=""</formula>
    </cfRule>
  </conditionalFormatting>
  <conditionalFormatting sqref="F11:F41">
    <cfRule type="expression" dxfId="19" priority="1">
      <formula>$F11=2</formula>
    </cfRule>
    <cfRule type="expression" dxfId="18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  <rowBreaks count="1" manualBreakCount="1">
    <brk id="57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Y58"/>
  <sheetViews>
    <sheetView zoomScaleNormal="100" workbookViewId="0">
      <selection activeCell="L1" sqref="L1:R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IF(Uebersicht!AX7&gt;0,0,"")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IF(Uebersicht!AY7&gt;0,32,"")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IF($K$7=0,"",IF(Jan!$X$1="nein","",IF($X$1="nein","",IF(W3&gt;0,W3,Uebersicht!BC7))))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IF(AND(YEAR(TODAY())=G7,MONTH(TODAY())&gt;=E7,K7&gt;0),Apr!I48,0)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IF($K$7=0,"",IF(Jan!$X$1="nein","",IF($X$1="nein","",IF(W4&gt;0,W4,Uebersicht!BD7))))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IF($K$7=0,"",IF(Jan!$X$1="nein","",IF($X$1="nein","",IF(W5&gt;0,W5,Uebersicht!BE7))))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IF($K$7=0,"",IF(Jan!$X$1="nein","",IF($X$1="nein","",IF(W6&gt;0,W6,Uebersicht!BF7))))</f>
        <v/>
      </c>
      <c r="Y6" s="188">
        <f t="shared" si="0"/>
        <v>1</v>
      </c>
    </row>
    <row r="7" spans="1:25" x14ac:dyDescent="0.2">
      <c r="A7" s="286" t="s">
        <v>18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5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Uebersicht!AP13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IF($K$7=0,"",IF(Jan!$X$1="nein","",IF($X$1="nein","",IF(W7&gt;0,W7,Uebersicht!BG7))))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IF(Uebersicht!AP14=K7,"",Uebersicht!AP14)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Apr!Q42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227">
        <v>1</v>
      </c>
      <c r="B11" s="98">
        <f>$E$7</f>
        <v>5</v>
      </c>
      <c r="C11" s="98">
        <f>$G$7</f>
        <v>2017</v>
      </c>
      <c r="D11" s="200" t="str">
        <f>TEXT(DATE($G$7,$E$7,A11),"TTTT")</f>
        <v>Montag</v>
      </c>
      <c r="E11" s="201">
        <f>IF(ISNA(INDEX(X!$W$7:$W$20,MATCH(DATE($G$7,$E$7,A11),X!$AC$7:$AC$20,0))),"X",1)</f>
        <v>1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2</v>
      </c>
      <c r="G11" s="228"/>
      <c r="H11" s="226"/>
      <c r="I11" s="219" t="str">
        <f>IF($K$7=0,"",IF(AND(OR(SUM(Uebersicht!$B$36:$B$40)&gt;0,SUM($W$3:$W$7)&gt;0),G11&gt;0,H11&gt;0),M11,IF(AND(OR(SUM(Uebersicht!$B$36:$B$40)&gt;0,SUM($W$3:$W$7)&gt;0),G11="",H11=""),IF(P11=0,"",P11),M11)))</f>
        <v/>
      </c>
      <c r="J11" s="220" t="str">
        <f>IF(K11="Resturlaub",(I11/24)/60,IF(O11=0,"",O11))</f>
        <v/>
      </c>
      <c r="K11" s="229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5</v>
      </c>
      <c r="C12" s="98">
        <f t="shared" ref="C12:C41" si="6">$G$7</f>
        <v>2017</v>
      </c>
      <c r="D12" s="200" t="str">
        <f t="shared" ref="D12:D40" si="7">TEXT(DATE($G$7,$E$7,A12),"TTTT")</f>
        <v>Dienstag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IF($K$7=0,"",IF($X$1="nein","",IF($K$8="","",IF(W12="",Uebersicht!BH7,W12))))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5</v>
      </c>
      <c r="C13" s="98">
        <f t="shared" si="6"/>
        <v>2017</v>
      </c>
      <c r="D13" s="200" t="str">
        <f t="shared" si="7"/>
        <v>Mittwoch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IF($K$7=0,"",IF($X$1="nein","",IF($K$8="","",IF(W13="",Uebersicht!BI7,W13))))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5</v>
      </c>
      <c r="C14" s="98">
        <f t="shared" si="6"/>
        <v>2017</v>
      </c>
      <c r="D14" s="200" t="str">
        <f t="shared" si="7"/>
        <v>Donnerstag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IF($K$7=0,"",IF($X$1="nein","",IF($K$8="","",IF(W14="",Uebersicht!BJ7,W14))))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5</v>
      </c>
      <c r="C15" s="98">
        <f t="shared" si="6"/>
        <v>2017</v>
      </c>
      <c r="D15" s="200" t="str">
        <f t="shared" si="7"/>
        <v>Freitag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IF($K$7=0,"",IF($X$1="nein","",IF($K$8="","",IF(W15="",Uebersicht!BK7,W15))))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5</v>
      </c>
      <c r="C16" s="98">
        <f t="shared" si="6"/>
        <v>2017</v>
      </c>
      <c r="D16" s="200" t="str">
        <f t="shared" si="7"/>
        <v>Samstag</v>
      </c>
      <c r="E16" s="201" t="str">
        <f>IF(ISNA(INDEX(X!$W$7:$W$20,MATCH(DATE($G$7,$E$7,A16),X!$AC$7:$AC$20,0))),"X",1)</f>
        <v>X</v>
      </c>
      <c r="F16" s="202">
        <f t="shared" si="1"/>
        <v>2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IF($K$7=0,"",IF($X$1="nein","",IF($K$8="","",IF(W16="",Uebersicht!BL7,W16))))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5</v>
      </c>
      <c r="C17" s="98">
        <f t="shared" si="6"/>
        <v>2017</v>
      </c>
      <c r="D17" s="200" t="str">
        <f t="shared" si="7"/>
        <v>Sonntag</v>
      </c>
      <c r="E17" s="201" t="str">
        <f>IF(ISNA(INDEX(X!$W$7:$W$20,MATCH(DATE($G$7,$E$7,A17),X!$AC$7:$AC$20,0))),"X",1)</f>
        <v>X</v>
      </c>
      <c r="F17" s="202">
        <f t="shared" si="1"/>
        <v>2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5</v>
      </c>
      <c r="C18" s="98">
        <f t="shared" si="6"/>
        <v>2017</v>
      </c>
      <c r="D18" s="200" t="str">
        <f t="shared" si="7"/>
        <v>Montag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5</v>
      </c>
      <c r="C19" s="98">
        <f t="shared" si="6"/>
        <v>2017</v>
      </c>
      <c r="D19" s="200" t="str">
        <f t="shared" si="7"/>
        <v>Dienstag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5</v>
      </c>
      <c r="C20" s="98">
        <f t="shared" si="6"/>
        <v>2017</v>
      </c>
      <c r="D20" s="200" t="str">
        <f t="shared" si="7"/>
        <v>Mittwoch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5</v>
      </c>
      <c r="C21" s="98">
        <f t="shared" si="6"/>
        <v>2017</v>
      </c>
      <c r="D21" s="200" t="str">
        <f t="shared" si="7"/>
        <v>Donnerstag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5</v>
      </c>
      <c r="C22" s="98">
        <f t="shared" si="6"/>
        <v>2017</v>
      </c>
      <c r="D22" s="200" t="str">
        <f t="shared" si="7"/>
        <v>Freitag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5</v>
      </c>
      <c r="C23" s="98">
        <f t="shared" si="6"/>
        <v>2017</v>
      </c>
      <c r="D23" s="200" t="str">
        <f t="shared" si="7"/>
        <v>Samstag</v>
      </c>
      <c r="E23" s="201" t="str">
        <f>IF(ISNA(INDEX(X!$W$7:$W$20,MATCH(DATE($G$7,$E$7,A23),X!$AC$7:$AC$20,0))),"X",1)</f>
        <v>X</v>
      </c>
      <c r="F23" s="202">
        <f t="shared" si="1"/>
        <v>2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5</v>
      </c>
      <c r="C24" s="98">
        <f t="shared" si="6"/>
        <v>2017</v>
      </c>
      <c r="D24" s="200" t="str">
        <f t="shared" si="7"/>
        <v>Sonntag</v>
      </c>
      <c r="E24" s="201" t="str">
        <f>IF(ISNA(INDEX(X!$W$7:$W$20,MATCH(DATE($G$7,$E$7,A24),X!$AC$7:$AC$20,0))),"X",1)</f>
        <v>X</v>
      </c>
      <c r="F24" s="202">
        <f t="shared" si="1"/>
        <v>2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5</v>
      </c>
      <c r="C25" s="98">
        <f t="shared" si="6"/>
        <v>2017</v>
      </c>
      <c r="D25" s="200" t="str">
        <f t="shared" si="7"/>
        <v>Montag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5</v>
      </c>
      <c r="C26" s="98">
        <f t="shared" si="6"/>
        <v>2017</v>
      </c>
      <c r="D26" s="200" t="str">
        <f t="shared" si="7"/>
        <v>Dienstag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5</v>
      </c>
      <c r="C27" s="98">
        <f t="shared" si="6"/>
        <v>2017</v>
      </c>
      <c r="D27" s="200" t="str">
        <f t="shared" si="7"/>
        <v>Mittwoch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5</v>
      </c>
      <c r="C28" s="98">
        <f t="shared" si="6"/>
        <v>2017</v>
      </c>
      <c r="D28" s="200" t="str">
        <f t="shared" si="7"/>
        <v>Donnerstag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5</v>
      </c>
      <c r="C29" s="98">
        <f t="shared" si="6"/>
        <v>2017</v>
      </c>
      <c r="D29" s="200" t="str">
        <f t="shared" si="7"/>
        <v>Freitag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5</v>
      </c>
      <c r="C30" s="98">
        <f t="shared" si="6"/>
        <v>2017</v>
      </c>
      <c r="D30" s="200" t="str">
        <f t="shared" si="7"/>
        <v>Samstag</v>
      </c>
      <c r="E30" s="201" t="str">
        <f>IF(ISNA(INDEX(X!$W$7:$W$20,MATCH(DATE($G$7,$E$7,A30),X!$AC$7:$AC$20,0))),"X",1)</f>
        <v>X</v>
      </c>
      <c r="F30" s="202">
        <f t="shared" si="17"/>
        <v>2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5</v>
      </c>
      <c r="C31" s="98">
        <f t="shared" si="6"/>
        <v>2017</v>
      </c>
      <c r="D31" s="200" t="str">
        <f t="shared" si="7"/>
        <v>Sonntag</v>
      </c>
      <c r="E31" s="201" t="str">
        <f>IF(ISNA(INDEX(X!$W$7:$W$20,MATCH(DATE($G$7,$E$7,A31),X!$AC$7:$AC$20,0))),"X",1)</f>
        <v>X</v>
      </c>
      <c r="F31" s="202">
        <f t="shared" si="17"/>
        <v>2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5</v>
      </c>
      <c r="C32" s="98">
        <f t="shared" si="6"/>
        <v>2017</v>
      </c>
      <c r="D32" s="200" t="str">
        <f t="shared" si="7"/>
        <v>Montag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5</v>
      </c>
      <c r="C33" s="98">
        <f t="shared" si="6"/>
        <v>2017</v>
      </c>
      <c r="D33" s="200" t="str">
        <f t="shared" si="7"/>
        <v>Dienstag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5</v>
      </c>
      <c r="C34" s="98">
        <f t="shared" si="6"/>
        <v>2017</v>
      </c>
      <c r="D34" s="200" t="str">
        <f t="shared" si="7"/>
        <v>Mittwoch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5</v>
      </c>
      <c r="C35" s="98">
        <f t="shared" si="6"/>
        <v>2017</v>
      </c>
      <c r="D35" s="200" t="str">
        <f t="shared" si="7"/>
        <v>Donnerstag</v>
      </c>
      <c r="E35" s="201">
        <f>IF(ISNA(INDEX(X!$W$7:$W$20,MATCH(DATE($G$7,$E$7,A35),X!$AC$7:$AC$20,0))),"X",1)</f>
        <v>1</v>
      </c>
      <c r="F35" s="202">
        <f t="shared" si="17"/>
        <v>2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5</v>
      </c>
      <c r="C36" s="98">
        <f t="shared" si="6"/>
        <v>2017</v>
      </c>
      <c r="D36" s="200" t="str">
        <f t="shared" si="7"/>
        <v>Freitag</v>
      </c>
      <c r="E36" s="201" t="str">
        <f>IF(ISNA(INDEX(X!$W$7:$W$20,MATCH(DATE($G$7,$E$7,A36),X!$AC$7:$AC$20,0))),"X",1)</f>
        <v>X</v>
      </c>
      <c r="F36" s="202">
        <f t="shared" si="17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5</v>
      </c>
      <c r="C37" s="98">
        <f t="shared" si="6"/>
        <v>2017</v>
      </c>
      <c r="D37" s="200" t="str">
        <f t="shared" si="7"/>
        <v>Samstag</v>
      </c>
      <c r="E37" s="201" t="str">
        <f>IF(ISNA(INDEX(X!$W$7:$W$20,MATCH(DATE($G$7,$E$7,A37),X!$AC$7:$AC$20,0))),"X",1)</f>
        <v>X</v>
      </c>
      <c r="F37" s="202">
        <f t="shared" si="17"/>
        <v>2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5</v>
      </c>
      <c r="C38" s="98">
        <f t="shared" si="6"/>
        <v>2017</v>
      </c>
      <c r="D38" s="200" t="str">
        <f t="shared" si="7"/>
        <v>Sonntag</v>
      </c>
      <c r="E38" s="201" t="str">
        <f>IF(ISNA(INDEX(X!$W$7:$W$20,MATCH(DATE($G$7,$E$7,A38),X!$AC$7:$AC$20,0))),"X",1)</f>
        <v>X</v>
      </c>
      <c r="F38" s="202">
        <f t="shared" si="17"/>
        <v>2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5</v>
      </c>
      <c r="C39" s="98">
        <f t="shared" si="6"/>
        <v>2017</v>
      </c>
      <c r="D39" s="200" t="str">
        <f t="shared" si="7"/>
        <v>Montag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42884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5</v>
      </c>
      <c r="C40" s="98">
        <f t="shared" si="6"/>
        <v>2017</v>
      </c>
      <c r="D40" s="200" t="str">
        <f t="shared" si="7"/>
        <v>Dienstag</v>
      </c>
      <c r="E40" s="201" t="str">
        <f>IF(ISNA(INDEX(X!$W$7:$W$20,MATCH(DATE($G$7,$E$7,A40),X!$AC$7:$AC$20,0))),"X",1)</f>
        <v>X</v>
      </c>
      <c r="F40" s="202">
        <f t="shared" si="17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>
        <f>IF(OR(B41=1,B41=3,B41=5,B41=7,B41=8,B41=10,B41=12),31,"")</f>
        <v>31</v>
      </c>
      <c r="B41" s="204">
        <f t="shared" si="5"/>
        <v>5</v>
      </c>
      <c r="C41" s="204">
        <f t="shared" si="6"/>
        <v>2017</v>
      </c>
      <c r="D41" s="205" t="str">
        <f>IF(A41="","",TEXT(DATE($G$7,$E$7,A41),"TTTT"))</f>
        <v>Mittwoch</v>
      </c>
      <c r="E41" s="206" t="str">
        <f>IF(ISNA(INDEX(X!$W$7:$W$20,MATCH(DATE($G$7,$E$7,A41),X!$AC$7:$AC$20,0))),"X",1)</f>
        <v>X</v>
      </c>
      <c r="F41" s="207">
        <f t="shared" si="17"/>
        <v>1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 t="s">
        <v>13</v>
      </c>
      <c r="B52" s="40"/>
      <c r="C52" s="40"/>
      <c r="D52" s="40"/>
      <c r="E52" s="40"/>
      <c r="F52" s="40"/>
      <c r="G52" s="40"/>
      <c r="H52" s="40"/>
      <c r="I52" s="40"/>
      <c r="J52" s="40"/>
      <c r="K52" s="93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89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 t="s">
        <v>14</v>
      </c>
      <c r="B55" s="40"/>
      <c r="C55" s="40"/>
      <c r="D55" s="40"/>
      <c r="E55" s="40"/>
      <c r="F55" s="40"/>
      <c r="G55" s="40"/>
      <c r="H55" s="40"/>
      <c r="I55" s="40"/>
      <c r="J55" s="40"/>
      <c r="K55" s="93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A58" s="40"/>
      <c r="B58" s="40"/>
      <c r="C58" s="40"/>
      <c r="D58" s="40"/>
      <c r="G58" s="40"/>
      <c r="H58" s="40"/>
      <c r="I58" s="40"/>
      <c r="J58" s="40"/>
      <c r="K58" s="40"/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D41 G11:K41">
    <cfRule type="expression" dxfId="158" priority="64">
      <formula>$F11=2</formula>
    </cfRule>
    <cfRule type="expression" dxfId="157" priority="66">
      <formula>$F11=1</formula>
    </cfRule>
  </conditionalFormatting>
  <conditionalFormatting sqref="E11:E41">
    <cfRule type="expression" dxfId="156" priority="58">
      <formula>$F11=2</formula>
    </cfRule>
    <cfRule type="expression" dxfId="155" priority="60">
      <formula>$F11=1</formula>
    </cfRule>
  </conditionalFormatting>
  <conditionalFormatting sqref="L11:L41">
    <cfRule type="expression" dxfId="154" priority="32">
      <formula>$F11=2</formula>
    </cfRule>
    <cfRule type="expression" dxfId="153" priority="34">
      <formula>$F11=1</formula>
    </cfRule>
  </conditionalFormatting>
  <conditionalFormatting sqref="W8">
    <cfRule type="containsText" dxfId="152" priority="30" operator="containsText" text="zu wenig!">
      <formula>NOT(ISERROR(SEARCH("zu wenig!",W8)))</formula>
    </cfRule>
    <cfRule type="containsText" dxfId="151" priority="31" operator="containsText" text="zu viel!">
      <formula>NOT(ISERROR(SEARCH("zu viel!",W8)))</formula>
    </cfRule>
  </conditionalFormatting>
  <conditionalFormatting sqref="W17">
    <cfRule type="containsText" dxfId="150" priority="28" operator="containsText" text="zu wenig!">
      <formula>NOT(ISERROR(SEARCH("zu wenig!",W17)))</formula>
    </cfRule>
    <cfRule type="containsText" dxfId="149" priority="29" operator="containsText" text="zu viel!">
      <formula>NOT(ISERROR(SEARCH("zu viel!",W17)))</formula>
    </cfRule>
  </conditionalFormatting>
  <conditionalFormatting sqref="V10:W17">
    <cfRule type="expression" dxfId="148" priority="27">
      <formula>$K$8=""</formula>
    </cfRule>
  </conditionalFormatting>
  <conditionalFormatting sqref="X10:X17">
    <cfRule type="expression" dxfId="147" priority="22">
      <formula>$K$8=""</formula>
    </cfRule>
  </conditionalFormatting>
  <conditionalFormatting sqref="S10:T48">
    <cfRule type="expression" dxfId="144" priority="6">
      <formula>$A$9=""</formula>
    </cfRule>
  </conditionalFormatting>
  <conditionalFormatting sqref="S11:T41">
    <cfRule type="expression" dxfId="143" priority="4">
      <formula>$F11=1</formula>
    </cfRule>
    <cfRule type="expression" dxfId="142" priority="5">
      <formula>$F11=2</formula>
    </cfRule>
  </conditionalFormatting>
  <conditionalFormatting sqref="S6:T49">
    <cfRule type="expression" dxfId="141" priority="3">
      <formula>$M$8=""</formula>
    </cfRule>
  </conditionalFormatting>
  <conditionalFormatting sqref="F11:F41">
    <cfRule type="expression" dxfId="17" priority="1">
      <formula>$F11=2</formula>
    </cfRule>
    <cfRule type="expression" dxfId="16" priority="2">
      <formula>$F11=1</formula>
    </cfRule>
  </conditionalFormatting>
  <pageMargins left="0.78749999999999998" right="0.78749999999999998" top="0.78374999999999995" bottom="1.0249999999999999" header="0.78749999999999998" footer="0.78749999999999998"/>
  <pageSetup paperSize="9" scale="96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122"/>
      <c r="L2" s="81" t="str">
        <f>IF(Uebersicht!AX8&gt;0,0,"")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IF(Uebersicht!AY8&gt;0,32,"")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IF($K$7=0,"",IF(Jan!$X$1="nein","",IF($X$1="nein","",IF(W3&gt;0,W3,Uebersicht!BC8))))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IF(AND(YEAR(TODAY())=G7,MONTH(TODAY())&gt;=E7,K7&gt;0),Mai!I48,0)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IF($K$7=0,"",IF(Jan!$X$1="nein","",IF($X$1="nein","",IF(W4&gt;0,W4,Uebersicht!BD8))))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IF($K$7=0,"",IF(Jan!$X$1="nein","",IF($X$1="nein","",IF(W5&gt;0,W5,Uebersicht!BE8))))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IF($K$7=0,"",IF(Jan!$X$1="nein","",IF($X$1="nein","",IF(W6&gt;0,W6,Uebersicht!BF8))))</f>
        <v/>
      </c>
      <c r="Y6" s="188">
        <f t="shared" si="0"/>
        <v>1</v>
      </c>
    </row>
    <row r="7" spans="1:25" x14ac:dyDescent="0.2">
      <c r="A7" s="286" t="s">
        <v>19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6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Uebersicht!AP15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IF($K$7=0,"",IF(Jan!$X$1="nein","",IF($X$1="nein","",IF(W7&gt;0,W7,Uebersicht!BG8))))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IF(Uebersicht!AP16=K7,"",Uebersicht!AP16)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Mai!Q42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6</v>
      </c>
      <c r="C11" s="194">
        <f>$G$7</f>
        <v>2017</v>
      </c>
      <c r="D11" s="195" t="str">
        <f>TEXT(DATE($G$7,$E$7,A11),"TTTT")</f>
        <v>Donnerstag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6</v>
      </c>
      <c r="C12" s="98">
        <f t="shared" ref="C12:C41" si="6">$G$7</f>
        <v>2017</v>
      </c>
      <c r="D12" s="200" t="str">
        <f t="shared" ref="D12:D40" si="7">TEXT(DATE($G$7,$E$7,A12),"TTTT")</f>
        <v>Freitag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IF($K$7=0,"",IF($X$1="nein","",IF($K$8="","",IF(W12="",Uebersicht!BH8,W12))))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6</v>
      </c>
      <c r="C13" s="98">
        <f t="shared" si="6"/>
        <v>2017</v>
      </c>
      <c r="D13" s="200" t="str">
        <f t="shared" si="7"/>
        <v>Samstag</v>
      </c>
      <c r="E13" s="201" t="str">
        <f>IF(ISNA(INDEX(X!$W$7:$W$20,MATCH(DATE($G$7,$E$7,A13),X!$AC$7:$AC$20,0))),"X",1)</f>
        <v>X</v>
      </c>
      <c r="F13" s="202">
        <f t="shared" si="1"/>
        <v>2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IF($K$7=0,"",IF($X$1="nein","",IF($K$8="","",IF(W13="",Uebersicht!BI8,W13))))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6</v>
      </c>
      <c r="C14" s="98">
        <f t="shared" si="6"/>
        <v>2017</v>
      </c>
      <c r="D14" s="200" t="str">
        <f t="shared" si="7"/>
        <v>Sonntag</v>
      </c>
      <c r="E14" s="201">
        <f>IF(ISNA(INDEX(X!$W$7:$W$20,MATCH(DATE($G$7,$E$7,A14),X!$AC$7:$AC$20,0))),"X",1)</f>
        <v>1</v>
      </c>
      <c r="F14" s="202">
        <f t="shared" si="1"/>
        <v>2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IF($K$7=0,"",IF($X$1="nein","",IF($K$8="","",IF(W14="",Uebersicht!BJ8,W14))))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6</v>
      </c>
      <c r="C15" s="98">
        <f t="shared" si="6"/>
        <v>2017</v>
      </c>
      <c r="D15" s="200" t="str">
        <f t="shared" si="7"/>
        <v>Montag</v>
      </c>
      <c r="E15" s="201">
        <f>IF(ISNA(INDEX(X!$W$7:$W$20,MATCH(DATE($G$7,$E$7,A15),X!$AC$7:$AC$20,0))),"X",1)</f>
        <v>1</v>
      </c>
      <c r="F15" s="202">
        <f t="shared" si="1"/>
        <v>2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IF($K$7=0,"",IF($X$1="nein","",IF($K$8="","",IF(W15="",Uebersicht!BK8,W15))))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6</v>
      </c>
      <c r="C16" s="98">
        <f t="shared" si="6"/>
        <v>2017</v>
      </c>
      <c r="D16" s="200" t="str">
        <f t="shared" si="7"/>
        <v>Dienstag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IF($K$7=0,"",IF($X$1="nein","",IF($K$8="","",IF(W16="",Uebersicht!BL8,W16))))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6</v>
      </c>
      <c r="C17" s="98">
        <f t="shared" si="6"/>
        <v>2017</v>
      </c>
      <c r="D17" s="200" t="str">
        <f t="shared" si="7"/>
        <v>Mittwoch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6</v>
      </c>
      <c r="C18" s="98">
        <f t="shared" si="6"/>
        <v>2017</v>
      </c>
      <c r="D18" s="200" t="str">
        <f t="shared" si="7"/>
        <v>Donnerstag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6</v>
      </c>
      <c r="C19" s="98">
        <f t="shared" si="6"/>
        <v>2017</v>
      </c>
      <c r="D19" s="200" t="str">
        <f t="shared" si="7"/>
        <v>Freitag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6</v>
      </c>
      <c r="C20" s="98">
        <f t="shared" si="6"/>
        <v>2017</v>
      </c>
      <c r="D20" s="200" t="str">
        <f t="shared" si="7"/>
        <v>Samstag</v>
      </c>
      <c r="E20" s="201" t="str">
        <f>IF(ISNA(INDEX(X!$W$7:$W$20,MATCH(DATE($G$7,$E$7,A20),X!$AC$7:$AC$20,0))),"X",1)</f>
        <v>X</v>
      </c>
      <c r="F20" s="202">
        <f t="shared" si="1"/>
        <v>2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6</v>
      </c>
      <c r="C21" s="98">
        <f t="shared" si="6"/>
        <v>2017</v>
      </c>
      <c r="D21" s="200" t="str">
        <f t="shared" si="7"/>
        <v>Sonntag</v>
      </c>
      <c r="E21" s="201" t="str">
        <f>IF(ISNA(INDEX(X!$W$7:$W$20,MATCH(DATE($G$7,$E$7,A21),X!$AC$7:$AC$20,0))),"X",1)</f>
        <v>X</v>
      </c>
      <c r="F21" s="202">
        <f t="shared" si="1"/>
        <v>2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6</v>
      </c>
      <c r="C22" s="98">
        <f t="shared" si="6"/>
        <v>2017</v>
      </c>
      <c r="D22" s="200" t="str">
        <f t="shared" si="7"/>
        <v>Montag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6</v>
      </c>
      <c r="C23" s="98">
        <f t="shared" si="6"/>
        <v>2017</v>
      </c>
      <c r="D23" s="200" t="str">
        <f t="shared" si="7"/>
        <v>Dienstag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6</v>
      </c>
      <c r="C24" s="98">
        <f t="shared" si="6"/>
        <v>2017</v>
      </c>
      <c r="D24" s="200" t="str">
        <f t="shared" si="7"/>
        <v>Mittwoch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6</v>
      </c>
      <c r="C25" s="98">
        <f t="shared" si="6"/>
        <v>2017</v>
      </c>
      <c r="D25" s="200" t="str">
        <f t="shared" si="7"/>
        <v>Donnerstag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6</v>
      </c>
      <c r="C26" s="98">
        <f t="shared" si="6"/>
        <v>2017</v>
      </c>
      <c r="D26" s="200" t="str">
        <f t="shared" si="7"/>
        <v>Freitag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6</v>
      </c>
      <c r="C27" s="98">
        <f t="shared" si="6"/>
        <v>2017</v>
      </c>
      <c r="D27" s="200" t="str">
        <f t="shared" si="7"/>
        <v>Samstag</v>
      </c>
      <c r="E27" s="201" t="str">
        <f>IF(ISNA(INDEX(X!$W$7:$W$20,MATCH(DATE($G$7,$E$7,A27),X!$AC$7:$AC$20,0))),"X",1)</f>
        <v>X</v>
      </c>
      <c r="F27" s="202">
        <f t="shared" si="17"/>
        <v>2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6</v>
      </c>
      <c r="C28" s="98">
        <f t="shared" si="6"/>
        <v>2017</v>
      </c>
      <c r="D28" s="200" t="str">
        <f t="shared" si="7"/>
        <v>Sonntag</v>
      </c>
      <c r="E28" s="201" t="str">
        <f>IF(ISNA(INDEX(X!$W$7:$W$20,MATCH(DATE($G$7,$E$7,A28),X!$AC$7:$AC$20,0))),"X",1)</f>
        <v>X</v>
      </c>
      <c r="F28" s="202">
        <f t="shared" si="17"/>
        <v>2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6</v>
      </c>
      <c r="C29" s="98">
        <f t="shared" si="6"/>
        <v>2017</v>
      </c>
      <c r="D29" s="200" t="str">
        <f t="shared" si="7"/>
        <v>Montag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6</v>
      </c>
      <c r="C30" s="98">
        <f t="shared" si="6"/>
        <v>2017</v>
      </c>
      <c r="D30" s="200" t="str">
        <f t="shared" si="7"/>
        <v>Dienstag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6</v>
      </c>
      <c r="C31" s="98">
        <f t="shared" si="6"/>
        <v>2017</v>
      </c>
      <c r="D31" s="200" t="str">
        <f t="shared" si="7"/>
        <v>Mittwoch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6</v>
      </c>
      <c r="C32" s="98">
        <f t="shared" si="6"/>
        <v>2017</v>
      </c>
      <c r="D32" s="200" t="str">
        <f t="shared" si="7"/>
        <v>Donnerstag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6</v>
      </c>
      <c r="C33" s="98">
        <f t="shared" si="6"/>
        <v>2017</v>
      </c>
      <c r="D33" s="200" t="str">
        <f t="shared" si="7"/>
        <v>Freitag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6</v>
      </c>
      <c r="C34" s="98">
        <f t="shared" si="6"/>
        <v>2017</v>
      </c>
      <c r="D34" s="200" t="str">
        <f t="shared" si="7"/>
        <v>Samstag</v>
      </c>
      <c r="E34" s="201" t="str">
        <f>IF(ISNA(INDEX(X!$W$7:$W$20,MATCH(DATE($G$7,$E$7,A34),X!$AC$7:$AC$20,0))),"X",1)</f>
        <v>X</v>
      </c>
      <c r="F34" s="202">
        <f t="shared" si="17"/>
        <v>2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6</v>
      </c>
      <c r="C35" s="98">
        <f t="shared" si="6"/>
        <v>2017</v>
      </c>
      <c r="D35" s="200" t="str">
        <f t="shared" si="7"/>
        <v>Sonntag</v>
      </c>
      <c r="E35" s="201" t="str">
        <f>IF(ISNA(INDEX(X!$W$7:$W$20,MATCH(DATE($G$7,$E$7,A35),X!$AC$7:$AC$20,0))),"X",1)</f>
        <v>X</v>
      </c>
      <c r="F35" s="202">
        <f t="shared" si="17"/>
        <v>2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6</v>
      </c>
      <c r="C36" s="98">
        <f t="shared" si="6"/>
        <v>2017</v>
      </c>
      <c r="D36" s="200" t="str">
        <f t="shared" si="7"/>
        <v>Montag</v>
      </c>
      <c r="E36" s="201" t="str">
        <f>IF(ISNA(INDEX(X!$W$7:$W$20,MATCH(DATE($G$7,$E$7,A36),X!$AC$7:$AC$20,0))),"X",1)</f>
        <v>X</v>
      </c>
      <c r="F36" s="202">
        <f t="shared" si="17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6</v>
      </c>
      <c r="C37" s="98">
        <f t="shared" si="6"/>
        <v>2017</v>
      </c>
      <c r="D37" s="200" t="str">
        <f t="shared" si="7"/>
        <v>Dienstag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6</v>
      </c>
      <c r="C38" s="98">
        <f t="shared" si="6"/>
        <v>2017</v>
      </c>
      <c r="D38" s="200" t="str">
        <f t="shared" si="7"/>
        <v>Mittwoch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6</v>
      </c>
      <c r="C39" s="98">
        <f t="shared" si="6"/>
        <v>2017</v>
      </c>
      <c r="D39" s="200" t="str">
        <f t="shared" si="7"/>
        <v>Donnerstag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42915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6</v>
      </c>
      <c r="C40" s="98">
        <f t="shared" si="6"/>
        <v>2017</v>
      </c>
      <c r="D40" s="200" t="str">
        <f t="shared" si="7"/>
        <v>Freitag</v>
      </c>
      <c r="E40" s="201" t="str">
        <f>IF(ISNA(INDEX(X!$W$7:$W$20,MATCH(DATE($G$7,$E$7,A40),X!$AC$7:$AC$20,0))),"X",1)</f>
        <v>X</v>
      </c>
      <c r="F40" s="202">
        <f t="shared" si="17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 t="str">
        <f>IF(OR(B41=1,B41=3,B41=5,B41=7,B41=8,B41=10,B41=12),31,"")</f>
        <v/>
      </c>
      <c r="B41" s="204">
        <f t="shared" si="5"/>
        <v>6</v>
      </c>
      <c r="C41" s="204">
        <f t="shared" si="6"/>
        <v>2017</v>
      </c>
      <c r="D41" s="205" t="str">
        <f>IF(A41="","",TEXT(DATE($G$7,$E$7,A41),"TTTT"))</f>
        <v/>
      </c>
      <c r="E41" s="206">
        <f>IF(ISNA(INDEX(X!$W$7:$W$20,MATCH(DATE($G$7,$E$7,A41),X!$AC$7:$AC$20,0))),"X",1)</f>
        <v>1</v>
      </c>
      <c r="F41" s="207">
        <f t="shared" si="17"/>
        <v>2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E41 G11:K41">
    <cfRule type="expression" dxfId="140" priority="58">
      <formula>$F11=2</formula>
    </cfRule>
    <cfRule type="expression" dxfId="139" priority="60">
      <formula>$F11=1</formula>
    </cfRule>
  </conditionalFormatting>
  <conditionalFormatting sqref="L11:L41">
    <cfRule type="expression" dxfId="138" priority="32">
      <formula>$F11=2</formula>
    </cfRule>
    <cfRule type="expression" dxfId="137" priority="34">
      <formula>$F11=1</formula>
    </cfRule>
  </conditionalFormatting>
  <conditionalFormatting sqref="W8">
    <cfRule type="containsText" dxfId="136" priority="30" operator="containsText" text="zu wenig!">
      <formula>NOT(ISERROR(SEARCH("zu wenig!",W8)))</formula>
    </cfRule>
    <cfRule type="containsText" dxfId="135" priority="31" operator="containsText" text="zu viel!">
      <formula>NOT(ISERROR(SEARCH("zu viel!",W8)))</formula>
    </cfRule>
  </conditionalFormatting>
  <conditionalFormatting sqref="W17">
    <cfRule type="containsText" dxfId="134" priority="28" operator="containsText" text="zu wenig!">
      <formula>NOT(ISERROR(SEARCH("zu wenig!",W17)))</formula>
    </cfRule>
    <cfRule type="containsText" dxfId="133" priority="29" operator="containsText" text="zu viel!">
      <formula>NOT(ISERROR(SEARCH("zu viel!",W17)))</formula>
    </cfRule>
  </conditionalFormatting>
  <conditionalFormatting sqref="V10:W17">
    <cfRule type="expression" dxfId="132" priority="27">
      <formula>$K$8=""</formula>
    </cfRule>
  </conditionalFormatting>
  <conditionalFormatting sqref="X10:X17">
    <cfRule type="expression" dxfId="131" priority="22">
      <formula>$K$8=""</formula>
    </cfRule>
  </conditionalFormatting>
  <conditionalFormatting sqref="S10:T48">
    <cfRule type="expression" dxfId="128" priority="6">
      <formula>$A$9=""</formula>
    </cfRule>
  </conditionalFormatting>
  <conditionalFormatting sqref="S11:T41">
    <cfRule type="expression" dxfId="127" priority="4">
      <formula>$F11=1</formula>
    </cfRule>
    <cfRule type="expression" dxfId="126" priority="5">
      <formula>$F11=2</formula>
    </cfRule>
  </conditionalFormatting>
  <conditionalFormatting sqref="S6:T49">
    <cfRule type="expression" dxfId="125" priority="3">
      <formula>$M$8=""</formula>
    </cfRule>
  </conditionalFormatting>
  <conditionalFormatting sqref="F11:F41">
    <cfRule type="expression" dxfId="15" priority="1">
      <formula>$F11=2</formula>
    </cfRule>
    <cfRule type="expression" dxfId="14" priority="2">
      <formula>$F11=1</formula>
    </cfRule>
  </conditionalFormatting>
  <pageMargins left="0.78749999999999998" right="0.78749999999999998" top="0.78374999999999995" bottom="1.0249999999999999" header="0.78749999999999998" footer="0.78749999999999998"/>
  <pageSetup paperSize="9" scale="96" firstPageNumber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9" style="1" bestFit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IF(Uebersicht!AX9&gt;0,0,"")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IF(Uebersicht!AY9&gt;0,32,"")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>
        <f>IF($K$7=0,0,IF(Jan!$X$1="nein",0,IF($X$1="nein",0,IF(W3&gt;0,W3,Uebersicht!BC9))))</f>
        <v>0</v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IF(AND(YEAR(TODAY())=G7,MONTH(TODAY())&gt;=E7,K7&gt;0),Jun!I48,0)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>
        <f>IF($K$7=0,0,IF(Jan!$X$1="nein",0,IF($X$1="nein",0,IF(W4&gt;0,W4,Uebersicht!BD9))))</f>
        <v>0</v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>
        <f>IF($K$7=0,0,IF(Jan!$X$1="nein",0,IF($X$1="nein",0,IF(W5&gt;0,W5,Uebersicht!BE9))))</f>
        <v>0</v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>
        <f>IF($K$7=0,0,IF(Jan!$X$1="nein",0,IF($X$1="nein",0,IF(W6&gt;0,W6,Uebersicht!BF9))))</f>
        <v>0</v>
      </c>
      <c r="Y6" s="188">
        <f t="shared" si="0"/>
        <v>1</v>
      </c>
    </row>
    <row r="7" spans="1:25" x14ac:dyDescent="0.2">
      <c r="A7" s="286" t="s">
        <v>20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7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Uebersicht!AP17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>
        <f>IF($K$7=0,0,IF(Jan!$X$1="nein",0,IF($X$1="nein",0,IF(W7&gt;0,W7,Uebersicht!BG9))))</f>
        <v>0</v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IF(Uebersicht!AP18=K7,"",IF(Uebersicht!AP18=0,"",Uebersicht!AP18))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Jun!Q42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7</v>
      </c>
      <c r="C11" s="194">
        <f>$G$7</f>
        <v>2017</v>
      </c>
      <c r="D11" s="195" t="str">
        <f>TEXT(DATE($G$7,$E$7,A11),"TTTT")</f>
        <v>Samstag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2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7</v>
      </c>
      <c r="C12" s="98">
        <f t="shared" ref="C12:C41" si="6">$G$7</f>
        <v>2017</v>
      </c>
      <c r="D12" s="200" t="str">
        <f t="shared" ref="D12:D40" si="7">TEXT(DATE($G$7,$E$7,A12),"TTTT")</f>
        <v>Sonntag</v>
      </c>
      <c r="E12" s="201" t="str">
        <f>IF(ISNA(INDEX(X!$W$7:$W$20,MATCH(DATE($G$7,$E$7,A12),X!$AC$7:$AC$20,0))),"X",1)</f>
        <v>X</v>
      </c>
      <c r="F12" s="202">
        <f t="shared" si="1"/>
        <v>2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IF($K$7=0,"",IF($X$1="nein","",IF($K$8="","",IF(W12="",Uebersicht!BH9,W12))))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7</v>
      </c>
      <c r="C13" s="98">
        <f t="shared" si="6"/>
        <v>2017</v>
      </c>
      <c r="D13" s="200" t="str">
        <f t="shared" si="7"/>
        <v>Montag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IF($K$7=0,"",IF($X$1="nein","",IF($K$8="","",IF(W13="",Uebersicht!BI9,W13))))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7</v>
      </c>
      <c r="C14" s="98">
        <f t="shared" si="6"/>
        <v>2017</v>
      </c>
      <c r="D14" s="200" t="str">
        <f t="shared" si="7"/>
        <v>Dienstag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IF($K$7=0,"",IF($X$1="nein","",IF($K$8="","",IF(W14="",Uebersicht!BJ9,W14))))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7</v>
      </c>
      <c r="C15" s="98">
        <f t="shared" si="6"/>
        <v>2017</v>
      </c>
      <c r="D15" s="200" t="str">
        <f t="shared" si="7"/>
        <v>Mittwoch</v>
      </c>
      <c r="E15" s="201" t="str">
        <f>IF(ISNA(INDEX(X!$W$7:$W$20,MATCH(DATE($G$7,$E$7,A15),X!$AC$7:$AC$20,0))),"X",1)</f>
        <v>X</v>
      </c>
      <c r="F15" s="202">
        <f t="shared" si="1"/>
        <v>1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IF($K$7=0,"",IF($X$1="nein","",IF($K$8="","",IF(W15="",Uebersicht!BK9,W15))))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7</v>
      </c>
      <c r="C16" s="98">
        <f t="shared" si="6"/>
        <v>2017</v>
      </c>
      <c r="D16" s="200" t="str">
        <f t="shared" si="7"/>
        <v>Donnerstag</v>
      </c>
      <c r="E16" s="201" t="str">
        <f>IF(ISNA(INDEX(X!$W$7:$W$20,MATCH(DATE($G$7,$E$7,A16),X!$AC$7:$AC$20,0))),"X",1)</f>
        <v>X</v>
      </c>
      <c r="F16" s="202">
        <f t="shared" si="1"/>
        <v>1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IF($K$7=0,"",IF($X$1="nein","",IF($K$8="","",IF(W16="",Uebersicht!BL9,W16))))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7</v>
      </c>
      <c r="C17" s="98">
        <f t="shared" si="6"/>
        <v>2017</v>
      </c>
      <c r="D17" s="200" t="str">
        <f t="shared" si="7"/>
        <v>Freitag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7</v>
      </c>
      <c r="C18" s="98">
        <f t="shared" si="6"/>
        <v>2017</v>
      </c>
      <c r="D18" s="200" t="str">
        <f t="shared" si="7"/>
        <v>Samstag</v>
      </c>
      <c r="E18" s="201" t="str">
        <f>IF(ISNA(INDEX(X!$W$7:$W$20,MATCH(DATE($G$7,$E$7,A18),X!$AC$7:$AC$20,0))),"X",1)</f>
        <v>X</v>
      </c>
      <c r="F18" s="202">
        <f t="shared" si="1"/>
        <v>2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7</v>
      </c>
      <c r="C19" s="98">
        <f t="shared" si="6"/>
        <v>2017</v>
      </c>
      <c r="D19" s="200" t="str">
        <f t="shared" si="7"/>
        <v>Sonntag</v>
      </c>
      <c r="E19" s="201" t="str">
        <f>IF(ISNA(INDEX(X!$W$7:$W$20,MATCH(DATE($G$7,$E$7,A19),X!$AC$7:$AC$20,0))),"X",1)</f>
        <v>X</v>
      </c>
      <c r="F19" s="202">
        <f t="shared" si="1"/>
        <v>2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7</v>
      </c>
      <c r="C20" s="98">
        <f t="shared" si="6"/>
        <v>2017</v>
      </c>
      <c r="D20" s="200" t="str">
        <f t="shared" si="7"/>
        <v>Montag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7</v>
      </c>
      <c r="C21" s="98">
        <f t="shared" si="6"/>
        <v>2017</v>
      </c>
      <c r="D21" s="200" t="str">
        <f t="shared" si="7"/>
        <v>Dienstag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7</v>
      </c>
      <c r="C22" s="98">
        <f t="shared" si="6"/>
        <v>2017</v>
      </c>
      <c r="D22" s="200" t="str">
        <f t="shared" si="7"/>
        <v>Mittwoch</v>
      </c>
      <c r="E22" s="201" t="str">
        <f>IF(ISNA(INDEX(X!$W$7:$W$20,MATCH(DATE($G$7,$E$7,A22),X!$AC$7:$AC$20,0))),"X",1)</f>
        <v>X</v>
      </c>
      <c r="F22" s="202">
        <f t="shared" si="1"/>
        <v>1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7</v>
      </c>
      <c r="C23" s="98">
        <f t="shared" si="6"/>
        <v>2017</v>
      </c>
      <c r="D23" s="200" t="str">
        <f t="shared" si="7"/>
        <v>Donnerstag</v>
      </c>
      <c r="E23" s="201" t="str">
        <f>IF(ISNA(INDEX(X!$W$7:$W$20,MATCH(DATE($G$7,$E$7,A23),X!$AC$7:$AC$20,0))),"X",1)</f>
        <v>X</v>
      </c>
      <c r="F23" s="202">
        <f t="shared" si="1"/>
        <v>1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7</v>
      </c>
      <c r="C24" s="98">
        <f t="shared" si="6"/>
        <v>2017</v>
      </c>
      <c r="D24" s="200" t="str">
        <f t="shared" si="7"/>
        <v>Freitag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7</v>
      </c>
      <c r="C25" s="98">
        <f t="shared" si="6"/>
        <v>2017</v>
      </c>
      <c r="D25" s="200" t="str">
        <f t="shared" si="7"/>
        <v>Samstag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2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7</v>
      </c>
      <c r="C26" s="98">
        <f t="shared" si="6"/>
        <v>2017</v>
      </c>
      <c r="D26" s="200" t="str">
        <f t="shared" si="7"/>
        <v>Sonntag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2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7</v>
      </c>
      <c r="C27" s="98">
        <f t="shared" si="6"/>
        <v>2017</v>
      </c>
      <c r="D27" s="200" t="str">
        <f t="shared" si="7"/>
        <v>Montag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7</v>
      </c>
      <c r="C28" s="98">
        <f t="shared" si="6"/>
        <v>2017</v>
      </c>
      <c r="D28" s="200" t="str">
        <f t="shared" si="7"/>
        <v>Dienstag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7</v>
      </c>
      <c r="C29" s="98">
        <f t="shared" si="6"/>
        <v>2017</v>
      </c>
      <c r="D29" s="200" t="str">
        <f t="shared" si="7"/>
        <v>Mittwoch</v>
      </c>
      <c r="E29" s="201" t="str">
        <f>IF(ISNA(INDEX(X!$W$7:$W$20,MATCH(DATE($G$7,$E$7,A29),X!$AC$7:$AC$20,0))),"X",1)</f>
        <v>X</v>
      </c>
      <c r="F29" s="202">
        <f t="shared" si="17"/>
        <v>1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7</v>
      </c>
      <c r="C30" s="98">
        <f t="shared" si="6"/>
        <v>2017</v>
      </c>
      <c r="D30" s="200" t="str">
        <f t="shared" si="7"/>
        <v>Donnerstag</v>
      </c>
      <c r="E30" s="201" t="str">
        <f>IF(ISNA(INDEX(X!$W$7:$W$20,MATCH(DATE($G$7,$E$7,A30),X!$AC$7:$AC$20,0))),"X",1)</f>
        <v>X</v>
      </c>
      <c r="F30" s="202">
        <f t="shared" si="17"/>
        <v>1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7</v>
      </c>
      <c r="C31" s="98">
        <f t="shared" si="6"/>
        <v>2017</v>
      </c>
      <c r="D31" s="200" t="str">
        <f t="shared" si="7"/>
        <v>Freitag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7</v>
      </c>
      <c r="C32" s="98">
        <f t="shared" si="6"/>
        <v>2017</v>
      </c>
      <c r="D32" s="200" t="str">
        <f t="shared" si="7"/>
        <v>Samstag</v>
      </c>
      <c r="E32" s="201" t="str">
        <f>IF(ISNA(INDEX(X!$W$7:$W$20,MATCH(DATE($G$7,$E$7,A32),X!$AC$7:$AC$20,0))),"X",1)</f>
        <v>X</v>
      </c>
      <c r="F32" s="202">
        <f t="shared" si="17"/>
        <v>2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7</v>
      </c>
      <c r="C33" s="98">
        <f t="shared" si="6"/>
        <v>2017</v>
      </c>
      <c r="D33" s="200" t="str">
        <f t="shared" si="7"/>
        <v>Sonntag</v>
      </c>
      <c r="E33" s="201" t="str">
        <f>IF(ISNA(INDEX(X!$W$7:$W$20,MATCH(DATE($G$7,$E$7,A33),X!$AC$7:$AC$20,0))),"X",1)</f>
        <v>X</v>
      </c>
      <c r="F33" s="202">
        <f t="shared" si="17"/>
        <v>2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7</v>
      </c>
      <c r="C34" s="98">
        <f t="shared" si="6"/>
        <v>2017</v>
      </c>
      <c r="D34" s="200" t="str">
        <f t="shared" si="7"/>
        <v>Montag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7</v>
      </c>
      <c r="C35" s="98">
        <f t="shared" si="6"/>
        <v>2017</v>
      </c>
      <c r="D35" s="200" t="str">
        <f t="shared" si="7"/>
        <v>Dienstag</v>
      </c>
      <c r="E35" s="201" t="str">
        <f>IF(ISNA(INDEX(X!$W$7:$W$20,MATCH(DATE($G$7,$E$7,A35),X!$AC$7:$AC$20,0))),"X",1)</f>
        <v>X</v>
      </c>
      <c r="F35" s="202">
        <f t="shared" si="17"/>
        <v>1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7</v>
      </c>
      <c r="C36" s="98">
        <f t="shared" si="6"/>
        <v>2017</v>
      </c>
      <c r="D36" s="200" t="str">
        <f t="shared" si="7"/>
        <v>Mittwoch</v>
      </c>
      <c r="E36" s="201" t="str">
        <f>IF(ISNA(INDEX(X!$W$7:$W$20,MATCH(DATE($G$7,$E$7,A36),X!$AC$7:$AC$20,0))),"X",1)</f>
        <v>X</v>
      </c>
      <c r="F36" s="202">
        <f t="shared" si="17"/>
        <v>1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7</v>
      </c>
      <c r="C37" s="98">
        <f t="shared" si="6"/>
        <v>2017</v>
      </c>
      <c r="D37" s="200" t="str">
        <f t="shared" si="7"/>
        <v>Donnerstag</v>
      </c>
      <c r="E37" s="201" t="str">
        <f>IF(ISNA(INDEX(X!$W$7:$W$20,MATCH(DATE($G$7,$E$7,A37),X!$AC$7:$AC$20,0))),"X",1)</f>
        <v>X</v>
      </c>
      <c r="F37" s="202">
        <f t="shared" si="17"/>
        <v>1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7</v>
      </c>
      <c r="C38" s="98">
        <f t="shared" si="6"/>
        <v>2017</v>
      </c>
      <c r="D38" s="200" t="str">
        <f t="shared" si="7"/>
        <v>Freitag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7</v>
      </c>
      <c r="C39" s="98">
        <f t="shared" si="6"/>
        <v>2017</v>
      </c>
      <c r="D39" s="200" t="str">
        <f t="shared" si="7"/>
        <v>Samstag</v>
      </c>
      <c r="E39" s="201" t="str">
        <f>IF(ISNA(INDEX(X!$W$7:$W$20,MATCH(DATE($G$7,$E$7,A39),X!$AC$7:$AC$20,0))),"X",1)</f>
        <v>X</v>
      </c>
      <c r="F39" s="202">
        <f t="shared" si="17"/>
        <v>2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42945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7</v>
      </c>
      <c r="C40" s="98">
        <f t="shared" si="6"/>
        <v>2017</v>
      </c>
      <c r="D40" s="200" t="str">
        <f t="shared" si="7"/>
        <v>Sonntag</v>
      </c>
      <c r="E40" s="201" t="str">
        <f>IF(ISNA(INDEX(X!$W$7:$W$20,MATCH(DATE($G$7,$E$7,A40),X!$AC$7:$AC$20,0))),"X",1)</f>
        <v>X</v>
      </c>
      <c r="F40" s="202">
        <f t="shared" si="17"/>
        <v>2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>
        <f>IF(OR(B41=1,B41=3,B41=5,B41=7,B41=8,B41=10,B41=12),31,"")</f>
        <v>31</v>
      </c>
      <c r="B41" s="204">
        <f t="shared" si="5"/>
        <v>7</v>
      </c>
      <c r="C41" s="204">
        <f t="shared" si="6"/>
        <v>2017</v>
      </c>
      <c r="D41" s="205" t="str">
        <f>IF(A41="","",TEXT(DATE($G$7,$E$7,A41),"TTTT"))</f>
        <v>Montag</v>
      </c>
      <c r="E41" s="206" t="str">
        <f>IF(ISNA(INDEX(X!$W$7:$W$20,MATCH(DATE($G$7,$E$7,A41),X!$AC$7:$AC$20,0))),"X",1)</f>
        <v>X</v>
      </c>
      <c r="F41" s="207">
        <f t="shared" si="17"/>
        <v>1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6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E41 G11:K41">
    <cfRule type="expression" dxfId="124" priority="73">
      <formula>$F11=2</formula>
    </cfRule>
    <cfRule type="expression" dxfId="123" priority="75">
      <formula>$F11=1</formula>
    </cfRule>
  </conditionalFormatting>
  <conditionalFormatting sqref="L11:L41">
    <cfRule type="expression" dxfId="122" priority="47">
      <formula>$F11=2</formula>
    </cfRule>
    <cfRule type="expression" dxfId="121" priority="49">
      <formula>$F11=1</formula>
    </cfRule>
  </conditionalFormatting>
  <conditionalFormatting sqref="W8">
    <cfRule type="containsText" dxfId="120" priority="45" operator="containsText" text="zu wenig!">
      <formula>NOT(ISERROR(SEARCH("zu wenig!",W8)))</formula>
    </cfRule>
    <cfRule type="containsText" dxfId="119" priority="46" operator="containsText" text="zu viel!">
      <formula>NOT(ISERROR(SEARCH("zu viel!",W8)))</formula>
    </cfRule>
  </conditionalFormatting>
  <conditionalFormatting sqref="W17">
    <cfRule type="containsText" dxfId="118" priority="43" operator="containsText" text="zu wenig!">
      <formula>NOT(ISERROR(SEARCH("zu wenig!",W17)))</formula>
    </cfRule>
    <cfRule type="containsText" dxfId="117" priority="44" operator="containsText" text="zu viel!">
      <formula>NOT(ISERROR(SEARCH("zu viel!",W17)))</formula>
    </cfRule>
  </conditionalFormatting>
  <conditionalFormatting sqref="V10:W17">
    <cfRule type="expression" dxfId="116" priority="42">
      <formula>$K$8=""</formula>
    </cfRule>
  </conditionalFormatting>
  <conditionalFormatting sqref="X10:X17">
    <cfRule type="expression" dxfId="115" priority="37">
      <formula>$K$8=""</formula>
    </cfRule>
  </conditionalFormatting>
  <conditionalFormatting sqref="S10:T48">
    <cfRule type="expression" dxfId="112" priority="6">
      <formula>$A$9=""</formula>
    </cfRule>
  </conditionalFormatting>
  <conditionalFormatting sqref="S11:T41">
    <cfRule type="expression" dxfId="111" priority="4">
      <formula>$F11=1</formula>
    </cfRule>
    <cfRule type="expression" dxfId="110" priority="5">
      <formula>$F11=2</formula>
    </cfRule>
  </conditionalFormatting>
  <conditionalFormatting sqref="S6:T49">
    <cfRule type="expression" dxfId="109" priority="3">
      <formula>$M$8=""</formula>
    </cfRule>
  </conditionalFormatting>
  <conditionalFormatting sqref="F11:F41">
    <cfRule type="expression" dxfId="13" priority="1">
      <formula>$F11=2</formula>
    </cfRule>
    <cfRule type="expression" dxfId="12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Y58"/>
  <sheetViews>
    <sheetView zoomScaleNormal="100" workbookViewId="0">
      <selection activeCell="E1" sqref="E1:F1048576"/>
    </sheetView>
  </sheetViews>
  <sheetFormatPr baseColWidth="10" defaultRowHeight="12.75" x14ac:dyDescent="0.2"/>
  <cols>
    <col min="1" max="1" width="5.42578125" style="1" customWidth="1"/>
    <col min="2" max="2" width="2" style="1" hidden="1" customWidth="1"/>
    <col min="3" max="3" width="5.42578125" style="1" hidden="1" customWidth="1"/>
    <col min="4" max="4" width="8.85546875" style="1" customWidth="1"/>
    <col min="5" max="6" width="2" style="1" hidden="1" customWidth="1"/>
    <col min="7" max="8" width="8.7109375" style="1" customWidth="1"/>
    <col min="9" max="10" width="6.7109375" style="1" customWidth="1"/>
    <col min="11" max="11" width="31.140625" style="1" customWidth="1"/>
    <col min="12" max="12" width="6.85546875" style="1" hidden="1" customWidth="1"/>
    <col min="13" max="13" width="7" style="1" hidden="1" customWidth="1"/>
    <col min="14" max="14" width="3.42578125" style="33" hidden="1" customWidth="1"/>
    <col min="15" max="15" width="6.140625" style="119" hidden="1" customWidth="1"/>
    <col min="16" max="17" width="11.42578125" style="60" hidden="1" customWidth="1"/>
    <col min="18" max="18" width="8.85546875" style="60" hidden="1" customWidth="1"/>
    <col min="19" max="20" width="6.7109375" style="60" customWidth="1"/>
    <col min="21" max="21" width="3.28515625" style="1" customWidth="1"/>
    <col min="22" max="23" width="11.42578125" style="1"/>
    <col min="24" max="24" width="6.85546875" style="33" bestFit="1" customWidth="1"/>
    <col min="25" max="25" width="55.7109375" style="1" bestFit="1" customWidth="1"/>
    <col min="26" max="16384" width="11.42578125" style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81"/>
      <c r="M1" s="40"/>
      <c r="N1" s="89"/>
      <c r="O1" s="118"/>
      <c r="P1" s="90"/>
      <c r="Q1" s="90"/>
      <c r="R1" s="90"/>
      <c r="S1" s="242"/>
      <c r="T1" s="243"/>
      <c r="U1" s="40"/>
      <c r="V1" s="40" t="s">
        <v>70</v>
      </c>
      <c r="W1" s="40"/>
      <c r="X1" s="115"/>
      <c r="Y1" s="102" t="s">
        <v>78</v>
      </c>
    </row>
    <row r="2" spans="1:25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81" t="str">
        <f>IF(Uebersicht!AX10&gt;0,0,"")</f>
        <v/>
      </c>
      <c r="M2" s="40"/>
      <c r="N2" s="89"/>
      <c r="O2" s="118"/>
      <c r="P2" s="90"/>
      <c r="Q2" s="90"/>
      <c r="R2" s="90"/>
      <c r="S2" s="243"/>
      <c r="T2" s="243"/>
      <c r="U2" s="40"/>
      <c r="V2" s="40" t="s">
        <v>10</v>
      </c>
      <c r="W2" s="40" t="s">
        <v>51</v>
      </c>
      <c r="X2" s="89"/>
      <c r="Y2" s="264"/>
    </row>
    <row r="3" spans="1:25" x14ac:dyDescent="0.2">
      <c r="A3" s="284" t="s">
        <v>2</v>
      </c>
      <c r="B3" s="285"/>
      <c r="C3" s="285"/>
      <c r="D3" s="285"/>
      <c r="E3" s="285"/>
      <c r="F3" s="285"/>
      <c r="G3" s="285"/>
      <c r="H3" s="284" t="s">
        <v>45</v>
      </c>
      <c r="I3" s="285"/>
      <c r="J3" s="291"/>
      <c r="K3" s="42" t="s">
        <v>64</v>
      </c>
      <c r="L3" s="81" t="str">
        <f>IF(Uebersicht!AY10&gt;0,32,"")</f>
        <v/>
      </c>
      <c r="M3" s="40"/>
      <c r="N3" s="89"/>
      <c r="O3" s="118"/>
      <c r="P3" s="90"/>
      <c r="Q3" s="90"/>
      <c r="R3" s="90"/>
      <c r="S3" s="233"/>
      <c r="T3" s="233"/>
      <c r="U3" s="40"/>
      <c r="V3" s="40" t="s">
        <v>71</v>
      </c>
      <c r="W3" s="85"/>
      <c r="X3" s="116" t="str">
        <f>IF($K$7=0,"",IF(Jan!$X$1="nein","",IF($X$1="nein","",IF(W3&gt;0,W3,Uebersicht!BC10))))</f>
        <v/>
      </c>
      <c r="Y3" s="188">
        <f>IF(AND(W3&gt;=1,$X$1=""),4,IF(AND(X3=0,SUM($X$3:$X$7)=0,$X$1="nein"),3,IF(AND(X3&gt;0,SUM($X$3:$X$7)&gt;0,SUM($W$3:$W$7)=0,$X$1=""),4,IF(AND(X3=0,SUM($X$3:$X$7)=0,$K$7&gt;0),3,1))))</f>
        <v>1</v>
      </c>
    </row>
    <row r="4" spans="1:25" x14ac:dyDescent="0.2">
      <c r="A4" s="282">
        <f>Uebersicht!A5</f>
        <v>0</v>
      </c>
      <c r="B4" s="283"/>
      <c r="C4" s="283"/>
      <c r="D4" s="283"/>
      <c r="E4" s="283"/>
      <c r="F4" s="283"/>
      <c r="G4" s="283"/>
      <c r="H4" s="282" t="str">
        <f>Uebersicht!B5</f>
        <v xml:space="preserve">D2 / IO / </v>
      </c>
      <c r="I4" s="283"/>
      <c r="J4" s="290"/>
      <c r="K4" s="84">
        <f ca="1">IF(AND(YEAR(TODAY())=G7,MONTH(TODAY())&gt;=E7,K7&gt;0),Jul!I48,0)</f>
        <v>0</v>
      </c>
      <c r="L4" s="81"/>
      <c r="M4" s="40"/>
      <c r="N4" s="89"/>
      <c r="O4" s="118"/>
      <c r="P4" s="90"/>
      <c r="Q4" s="90"/>
      <c r="R4" s="90"/>
      <c r="S4" s="240"/>
      <c r="T4" s="240"/>
      <c r="U4" s="40"/>
      <c r="V4" s="40" t="s">
        <v>72</v>
      </c>
      <c r="W4" s="88"/>
      <c r="X4" s="116" t="str">
        <f>IF($K$7=0,"",IF(Jan!$X$1="nein","",IF($X$1="nein","",IF(W4&gt;0,W4,Uebersicht!BD10))))</f>
        <v/>
      </c>
      <c r="Y4" s="188">
        <f t="shared" ref="Y4:Y7" si="0">IF(AND(W4&gt;=1,$X$1=""),4,IF(AND(X4=0,SUM($X$3:$X$7)=0,$X$1="nein"),3,IF(AND(X4&gt;0,SUM($X$3:$X$7)&gt;0,SUM($W$3:$W$7)=0,$X$1=""),4,IF(AND(X4=0,SUM($X$3:$X$7)=0,$K$7&gt;0),3,1))))</f>
        <v>1</v>
      </c>
    </row>
    <row r="5" spans="1:25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81"/>
      <c r="M5" s="40"/>
      <c r="N5" s="89"/>
      <c r="O5" s="118"/>
      <c r="P5" s="90"/>
      <c r="Q5" s="90"/>
      <c r="R5" s="90"/>
      <c r="S5" s="240"/>
      <c r="T5" s="240"/>
      <c r="U5" s="40"/>
      <c r="V5" s="40" t="s">
        <v>73</v>
      </c>
      <c r="W5" s="88"/>
      <c r="X5" s="116" t="str">
        <f>IF($K$7=0,"",IF(Jan!$X$1="nein","",IF($X$1="nein","",IF(W5&gt;0,W5,Uebersicht!BE10))))</f>
        <v/>
      </c>
      <c r="Y5" s="188">
        <f t="shared" si="0"/>
        <v>1</v>
      </c>
    </row>
    <row r="6" spans="1:25" x14ac:dyDescent="0.2">
      <c r="A6" s="284" t="s">
        <v>7</v>
      </c>
      <c r="B6" s="285"/>
      <c r="C6" s="285"/>
      <c r="D6" s="285"/>
      <c r="E6" s="42"/>
      <c r="F6" s="43"/>
      <c r="G6" s="44" t="s">
        <v>4</v>
      </c>
      <c r="H6" s="43"/>
      <c r="I6" s="284" t="s">
        <v>58</v>
      </c>
      <c r="J6" s="285"/>
      <c r="K6" s="223" t="s">
        <v>8</v>
      </c>
      <c r="L6" s="40"/>
      <c r="M6" s="40"/>
      <c r="N6" s="89"/>
      <c r="O6" s="118"/>
      <c r="P6" s="90"/>
      <c r="Q6" s="90"/>
      <c r="R6" s="90"/>
      <c r="S6" s="253" t="s">
        <v>103</v>
      </c>
      <c r="T6" s="254" t="s">
        <v>104</v>
      </c>
      <c r="U6" s="40"/>
      <c r="V6" s="40" t="s">
        <v>74</v>
      </c>
      <c r="W6" s="88"/>
      <c r="X6" s="116" t="str">
        <f>IF($K$7=0,"",IF(Jan!$X$1="nein","",IF($X$1="nein","",IF(W6&gt;0,W6,Uebersicht!BF10))))</f>
        <v/>
      </c>
      <c r="Y6" s="188">
        <f t="shared" si="0"/>
        <v>1</v>
      </c>
    </row>
    <row r="7" spans="1:25" x14ac:dyDescent="0.2">
      <c r="A7" s="286" t="s">
        <v>21</v>
      </c>
      <c r="B7" s="287"/>
      <c r="C7" s="287"/>
      <c r="D7" s="287"/>
      <c r="E7" s="47">
        <f>IF(A7="Januar",1,IF(A7="Februar",2,IF(A7="März",3,IF(A7="April",4,IF(A7="Mai",5,IF(A7="Juni",6,IF(A7="Juli",7,IF(A7="August",8,IF(A7="September",9,IF(A7="Oktober",10,IF(A7="November",11,IF(A7="Dezember",12,0))))))))))))</f>
        <v>8</v>
      </c>
      <c r="F7" s="268"/>
      <c r="G7" s="83">
        <f>Uebersicht!D5</f>
        <v>2017</v>
      </c>
      <c r="H7" s="45"/>
      <c r="I7" s="292">
        <f>IF(Q42/60&gt;0,Q42/60,0)</f>
        <v>0</v>
      </c>
      <c r="J7" s="293"/>
      <c r="K7" s="224">
        <f>Uebersicht!AP19</f>
        <v>0</v>
      </c>
      <c r="L7" s="40"/>
      <c r="M7" s="40"/>
      <c r="N7" s="89"/>
      <c r="O7" s="118"/>
      <c r="P7" s="90"/>
      <c r="Q7" s="90"/>
      <c r="R7" s="90"/>
      <c r="S7" s="247" t="str">
        <f>IF(M8="","",IF(M8&lt;15,A9,""))</f>
        <v/>
      </c>
      <c r="T7" s="248" t="str">
        <f>IF(S7="","",K7-S7)</f>
        <v/>
      </c>
      <c r="U7" s="40"/>
      <c r="V7" s="40" t="s">
        <v>75</v>
      </c>
      <c r="W7" s="88"/>
      <c r="X7" s="116" t="str">
        <f>IF($K$7=0,"",IF(Jan!$X$1="nein","",IF($X$1="nein","",IF(W7&gt;0,W7,Uebersicht!BG10))))</f>
        <v/>
      </c>
      <c r="Y7" s="188">
        <f t="shared" si="0"/>
        <v>1</v>
      </c>
    </row>
    <row r="8" spans="1:25" x14ac:dyDescent="0.2">
      <c r="A8" s="279" t="s">
        <v>105</v>
      </c>
      <c r="B8" s="279"/>
      <c r="C8" s="279"/>
      <c r="D8" s="279"/>
      <c r="E8" s="279"/>
      <c r="F8" s="279"/>
      <c r="G8" s="279"/>
      <c r="H8" s="280"/>
      <c r="I8" s="256"/>
      <c r="J8" s="257"/>
      <c r="K8" s="225" t="str">
        <f>IF(Uebersicht!AP20=K7,"",Uebersicht!AP20)</f>
        <v/>
      </c>
      <c r="L8" s="81" t="str">
        <f>IF(K8="","",15)</f>
        <v/>
      </c>
      <c r="M8" s="81" t="str">
        <f>IF(I8="","",IF(DAY(I8)&lt;15,1,15))</f>
        <v/>
      </c>
      <c r="N8" s="116" t="str">
        <f>IF(AND(J8="",I8=""),"",IF(J8="",32,IF(J8&gt;15,32,IF(J8&lt;15,14,0))))</f>
        <v/>
      </c>
      <c r="O8" s="258"/>
      <c r="P8" s="90"/>
      <c r="Q8" s="90"/>
      <c r="R8" s="90"/>
      <c r="S8" s="249" t="str">
        <f>IF(M8="","",IF(M8&gt;1,A9,""))</f>
        <v/>
      </c>
      <c r="T8" s="250" t="str">
        <f>IF(S8="","",IF(K8="",K7-S8,K8-S8))</f>
        <v/>
      </c>
      <c r="U8" s="40"/>
      <c r="V8" s="40"/>
      <c r="W8" s="40" t="str">
        <f>IF(SUM(X3:X7)=0,"",IF(OR(SUM(X3:X7),SUM(W3:W7))=0,"",IF(IF(SUM(W3:W7)&gt;0,SUM(W3:W7),(SUM(X3:X7)))&gt;K7,"zu viel!",IF(IF(SUM(W3:W7)&gt;0,SUM(W3:W7),SUM(X3:X7))&lt;K7,"zu wenig!",""))))</f>
        <v/>
      </c>
      <c r="X8" s="116" t="str">
        <f>IF(OR(X1="nein",SUM(X3:X7)=0),"ja",IF(OR(SUM(Uebersicht!B36:B40)&gt;0,SUM(W3:W7)&gt;0,SUM(X3:X7)&gt;0),"nein","ja"))</f>
        <v>ja</v>
      </c>
      <c r="Y8" s="188"/>
    </row>
    <row r="9" spans="1:25" x14ac:dyDescent="0.2">
      <c r="A9" s="234"/>
      <c r="B9" s="232"/>
      <c r="C9" s="232"/>
      <c r="D9" s="232" t="s">
        <v>102</v>
      </c>
      <c r="E9" s="232"/>
      <c r="F9" s="232"/>
      <c r="G9" s="277"/>
      <c r="H9" s="278"/>
      <c r="I9" s="288" t="s">
        <v>67</v>
      </c>
      <c r="J9" s="289"/>
      <c r="K9" s="40"/>
      <c r="L9" s="40"/>
      <c r="M9" s="40"/>
      <c r="N9" s="89"/>
      <c r="O9" s="118"/>
      <c r="P9" s="90"/>
      <c r="Q9" s="90" t="s">
        <v>57</v>
      </c>
      <c r="R9" s="90"/>
      <c r="S9" s="241"/>
      <c r="T9" s="241"/>
      <c r="U9" s="40"/>
      <c r="V9" s="40"/>
      <c r="W9" s="40"/>
      <c r="X9" s="89"/>
      <c r="Y9" s="188"/>
    </row>
    <row r="10" spans="1:25" s="78" customFormat="1" ht="25.5" customHeight="1" x14ac:dyDescent="0.2">
      <c r="A10" s="76" t="s">
        <v>10</v>
      </c>
      <c r="B10" s="97"/>
      <c r="C10" s="97"/>
      <c r="D10" s="77"/>
      <c r="E10" s="77"/>
      <c r="F10" s="77"/>
      <c r="G10" s="77" t="s">
        <v>43</v>
      </c>
      <c r="H10" s="79" t="s">
        <v>44</v>
      </c>
      <c r="I10" s="251" t="s">
        <v>81</v>
      </c>
      <c r="J10" s="252" t="s">
        <v>82</v>
      </c>
      <c r="K10" s="80" t="s">
        <v>66</v>
      </c>
      <c r="L10" s="123" t="s">
        <v>84</v>
      </c>
      <c r="M10" s="124" t="s">
        <v>83</v>
      </c>
      <c r="N10" s="120"/>
      <c r="O10" s="120" t="s">
        <v>82</v>
      </c>
      <c r="P10" s="121" t="s">
        <v>61</v>
      </c>
      <c r="Q10" s="121">
        <f>Jul!Q42</f>
        <v>0</v>
      </c>
      <c r="R10" s="121"/>
      <c r="S10" s="230" t="s">
        <v>100</v>
      </c>
      <c r="T10" s="231" t="s">
        <v>101</v>
      </c>
      <c r="U10" s="94"/>
      <c r="V10" s="281" t="s">
        <v>92</v>
      </c>
      <c r="W10" s="281"/>
      <c r="X10" s="94"/>
      <c r="Y10" s="189"/>
    </row>
    <row r="11" spans="1:25" x14ac:dyDescent="0.2">
      <c r="A11" s="193">
        <v>1</v>
      </c>
      <c r="B11" s="194">
        <f>$E$7</f>
        <v>8</v>
      </c>
      <c r="C11" s="194">
        <f>$G$7</f>
        <v>2017</v>
      </c>
      <c r="D11" s="195" t="str">
        <f>TEXT(DATE($G$7,$E$7,A11),"TTTT")</f>
        <v>Dienstag</v>
      </c>
      <c r="E11" s="196" t="str">
        <f>IF(ISNA(INDEX(X!$W$7:$W$20,MATCH(DATE($G$7,$E$7,A11),X!$AC$7:$AC$20,0))),"X",1)</f>
        <v>X</v>
      </c>
      <c r="F11" s="197">
        <f t="shared" ref="F11:F24" si="1">IF(OR(E11=1,D11="Samstag",D11="Sonntag"),2,IF(AND($K$7=0,$L$8=""),1,IF(AND($K$7&gt;0,$L$2=0,$L$3=32,$L$8=""),SUMIFS($Y$3:$Y$7,$V$3:$V$7,D11),IF(AND($K$7&gt;0,$L$2=0,$L$3="",$L$8=15,A11&lt;15),SUMIFS($Y$3:$Y$7,$V$3:$V$7,D11),IF(AND($K$7&gt;0,$L$2=0,$L$3&gt;0,$L$8=15,A11&lt;15),SUMIFS($Y$3:$Y$7,$V$3:$V$7,D11),IF(AND($K$7&gt;0,$L$2=0,$L$3&gt;0,$L$8=15,A11&gt;14),SUMIFS($Y$12:$Y$16,$V$12:$V$16,D11),IF(AND($K$7=0,$L$2="",$L$3=32,$L$8=15,A11&gt;14),SUMIFS($Y$12:$Y$16,$V$12:$V$16,D11),1)))))))</f>
        <v>1</v>
      </c>
      <c r="G11" s="198"/>
      <c r="H11" s="209"/>
      <c r="I11" s="217" t="str">
        <f>IF($K$7=0,"",IF(AND(OR(SUM(Uebersicht!$B$36:$B$40)&gt;0,SUM($W$3:$W$7)&gt;0),G11&gt;0,H11&gt;0),M11,IF(AND(OR(SUM(Uebersicht!$B$36:$B$40)&gt;0,SUM($W$3:$W$7)&gt;0),G11="",H11=""),IF(P11=0,"",P11),M11)))</f>
        <v/>
      </c>
      <c r="J11" s="218" t="str">
        <f>IF(K11="Resturlaub",(I11/24)/60,IF(O11=0,"",O11))</f>
        <v/>
      </c>
      <c r="K11" s="214"/>
      <c r="L11" s="191" t="str">
        <f>IF(G11="","",IF(((HOUR(H11)*60+MINUTE(H11))-(HOUR(G11)*60+MINUTE(G11)))&gt;360,((HOUR(H11)*60+MINUTE(H11))-(HOUR(G11)*60+MINUTE(G11)))-30,((HOUR(H11)*60+MINUTE(H11))-(HOUR(G11)*60+MINUTE(G11)))))</f>
        <v/>
      </c>
      <c r="M11" s="126" t="str">
        <f>IF(P11&lt;0,P11+IF(L11="",0,L11),L11)</f>
        <v/>
      </c>
      <c r="N11" s="127">
        <f>((HOUR(H11)*60+MINUTE(H11))/24)-((HOUR(G11)*60+MINUTE(G11))/24)</f>
        <v>0</v>
      </c>
      <c r="O11" s="128" t="str">
        <f t="shared" ref="O11:O16" si="2">IF(N11=0,IF(M11="","",IF((M11/60)&lt;0,TEXT(-((M11/60)/24),"-[h]:mm"),IF((M11/60)&gt;24,TEXT((((M11/60)-24)/24)+(24/24),"[hh]:mm"),M10/60))),IF(N11&gt;15,(N11-(30/24))/60,N11/60))</f>
        <v/>
      </c>
      <c r="P11" s="129">
        <f>IF(K11="krank",0,IF(AND(F11=3,$L$8=""),$K$7/5,IF(AND(F11=3,$L$8=15,A11&lt;15),$K$7/5,IF(AND(F11=3,$L$8=15,A11&gt;14),$K$8/5,IF(AND(F11=4,$L$8=""),SUMIFS($X$3:$X$7,$V$3:$V$7,D11),IF(AND(F11=4,$L$8=15,A11&lt;15),SUMIFS($X$3:$X$7,$V$3:$V$7,D11),IF(AND(F11=4,$L$8=15,A11&gt;14),SUMIFS($X$12:$X$16,$V$12:$V$16,D11)))))))*-60)+IF(K11="Urlaub",IF(AND(Q11&lt;=0,Q10&gt;0),Q10,IF(Q11&gt;0,Q10-Q11,IF(Q11&gt;0,0))))</f>
        <v>0</v>
      </c>
      <c r="Q11" s="129">
        <f t="shared" ref="Q11:Q27" si="3">Q10-(IF(F11=1,0,IF(AND(F11=3,$L$8="",K11="Urlaub"),$K$7/5,IF(AND(F11=3,$L$8=15,A11&lt;15,K11="Urlaub"),$K$7/5,IF(AND(F11=3,$L$8=15,A11&gt;14,K11="Urlaub"),$K$8/5,IF(AND(K11="Urlaub",F11=4,$L$8=""),SUMIFS($X$3:$X$7,$V$3:$V$7,D11),IF(AND(K11="Urlaub",F11=4,$L$8=15,A11&gt;14),SUMIFS($X$12:$X$16,$V$12:$V$16,D11),IF(AND(K11="Urlaub",F11=4,$L$8=15,A11&lt;15),SUMIFS($X$3:$X$7,$V$3:$V$7,D11),0)))))))*60)</f>
        <v>0</v>
      </c>
      <c r="R11" s="129">
        <f>IF(AND(F11=4,SUM($X$3:$X$7)&gt;0),SUMIFS($X$3:$X$7,$V$3:$V$7,D11),IF(AND(F11=4,SUM($X$3:$X$7)=0),$K$7/5,IF(AND(F11=5,SUM($X$12:$X$16)&gt;0),SUMIFS($X$12:$X$16,$V$12:$V$16,D11),IF(AND(F11=5,SUM($X$12:$X$16)=0),$K$8/5,0))))</f>
        <v>0</v>
      </c>
      <c r="S11" s="244"/>
      <c r="T11" s="235" t="str">
        <f t="shared" ref="T11:T13" si="4">IF(S11="","",(L11-(S11*60))/60)</f>
        <v/>
      </c>
      <c r="U11" s="40"/>
      <c r="V11" s="40" t="s">
        <v>10</v>
      </c>
      <c r="W11" s="40"/>
      <c r="X11" s="40"/>
      <c r="Y11" s="188"/>
    </row>
    <row r="12" spans="1:25" x14ac:dyDescent="0.2">
      <c r="A12" s="199">
        <v>2</v>
      </c>
      <c r="B12" s="98">
        <f t="shared" ref="B12:B41" si="5">$E$7</f>
        <v>8</v>
      </c>
      <c r="C12" s="98">
        <f t="shared" ref="C12:C41" si="6">$G$7</f>
        <v>2017</v>
      </c>
      <c r="D12" s="200" t="str">
        <f t="shared" ref="D12:D40" si="7">TEXT(DATE($G$7,$E$7,A12),"TTTT")</f>
        <v>Mittwoch</v>
      </c>
      <c r="E12" s="201" t="str">
        <f>IF(ISNA(INDEX(X!$W$7:$W$20,MATCH(DATE($G$7,$E$7,A12),X!$AC$7:$AC$20,0))),"X",1)</f>
        <v>X</v>
      </c>
      <c r="F12" s="202">
        <f t="shared" si="1"/>
        <v>1</v>
      </c>
      <c r="G12" s="125"/>
      <c r="H12" s="210"/>
      <c r="I12" s="219" t="str">
        <f>IF($K$7=0,"",IF(AND(OR(SUM(Uebersicht!$B$36:$B$40)&gt;0,SUM($W$3:$W$7)&gt;0),G12&gt;0,H12&gt;0),M12,IF(AND(OR(SUM(Uebersicht!$B$36:$B$40)&gt;0,SUM($W$3:$W$7)&gt;0),G12="",H12=""),IF(P12=0,"",P12),M12)))</f>
        <v/>
      </c>
      <c r="J12" s="220" t="str">
        <f t="shared" ref="J12:J41" si="8">IF(K12="Resturlaub",(I12/24)/60,IF(O12=0,"",O12))</f>
        <v/>
      </c>
      <c r="K12" s="215"/>
      <c r="L12" s="192" t="str">
        <f>IF(G12="","",IF(((HOUR(H12)*60+MINUTE(H12))-(HOUR(G12)*60+MINUTE(G12)))&gt;360,((HOUR(H12)*60+MINUTE(H12))-(HOUR(G12)*60+MINUTE(G12)))-30,((HOUR(H12)*60+MINUTE(H12))-(HOUR(G12)*60+MINUTE(G12)))))</f>
        <v/>
      </c>
      <c r="M12" s="130" t="str">
        <f t="shared" ref="M12:M41" si="9">IF(P12&lt;0,P12+IF(L12="",0,L12),L12)</f>
        <v/>
      </c>
      <c r="N12" s="131">
        <f>((HOUR(H12)*60+MINUTE(H12))/24)-((HOUR(G12)*60+MINUTE(G12))/24)</f>
        <v>0</v>
      </c>
      <c r="O12" s="132" t="str">
        <f t="shared" si="2"/>
        <v/>
      </c>
      <c r="P12" s="133">
        <f t="shared" ref="P12:P41" si="10">IF(K12="krank",0,IF(AND(F12=3,$L$8=""),$K$7/5,IF(AND(F12=3,$L$8=15,A12&lt;15),$K$7/5,IF(AND(F12=3,$L$8=15,A12&gt;14),$K$8/5,IF(AND(F12=4,$L$8=""),SUMIFS($X$3:$X$7,$V$3:$V$7,D12),IF(AND(F12=4,$L$8=15,A12&lt;15),SUMIFS($X$3:$X$7,$V$3:$V$7,D12),IF(AND(F12=4,$L$8=15,A12&gt;14),SUMIFS($X$12:$X$16,$V$12:$V$16,D12)))))))*-60)+IF(K12="Urlaub",IF(AND(Q12&lt;=0,Q11&gt;0),Q11,IF(Q12&gt;0,Q11-Q12,IF(Q12&gt;0,0))))</f>
        <v>0</v>
      </c>
      <c r="Q12" s="133">
        <f t="shared" si="3"/>
        <v>0</v>
      </c>
      <c r="R12" s="133">
        <f t="shared" ref="R12:R41" si="11">IF(AND(F12=4,SUM($X$3:$X$7)&gt;0),SUMIFS($X$3:$X$7,$V$3:$V$7,D12),IF(AND(F12=4,SUM($X$3:$X$7)=0),$K$7/5,IF(AND(F12=5,SUM($X$12:$X$16)&gt;0),SUMIFS($X$12:$X$16,$V$12:$V$16,D12),IF(AND(F12=5,SUM($X$12:$X$16)=0),$K$8/5,0))))</f>
        <v>0</v>
      </c>
      <c r="S12" s="245"/>
      <c r="T12" s="236" t="str">
        <f t="shared" si="4"/>
        <v/>
      </c>
      <c r="U12" s="40"/>
      <c r="V12" s="40" t="s">
        <v>71</v>
      </c>
      <c r="W12" s="85"/>
      <c r="X12" s="81" t="str">
        <f>IF($K$7=0,"",IF($X$1="nein","",IF($K$8="","",IF(W12="",Uebersicht!BH10,W12))))</f>
        <v/>
      </c>
      <c r="Y12" s="188">
        <f>IF(AND($X$1="",W12&gt;=1,$L$8=15),4,IF(AND($L$3="",$L$8=15),1,IF(AND(X12=0,SUM($X$12:$X$16)=0,$X$1="nein",$L$8=15),3,IF(AND(X12=0,SUM($X$12:$X$16)=0,$X$1="",$L$8=15),3,IF(AND(X12&gt;0,SUM($X$12:$X$16)&gt;0,SUM($W$12:$W$16)=0,$X$1="",$L$8=15),4,1)))))</f>
        <v>1</v>
      </c>
    </row>
    <row r="13" spans="1:25" x14ac:dyDescent="0.2">
      <c r="A13" s="199">
        <v>3</v>
      </c>
      <c r="B13" s="98">
        <f t="shared" si="5"/>
        <v>8</v>
      </c>
      <c r="C13" s="98">
        <f t="shared" si="6"/>
        <v>2017</v>
      </c>
      <c r="D13" s="200" t="str">
        <f t="shared" si="7"/>
        <v>Donnerstag</v>
      </c>
      <c r="E13" s="201" t="str">
        <f>IF(ISNA(INDEX(X!$W$7:$W$20,MATCH(DATE($G$7,$E$7,A13),X!$AC$7:$AC$20,0))),"X",1)</f>
        <v>X</v>
      </c>
      <c r="F13" s="202">
        <f t="shared" si="1"/>
        <v>1</v>
      </c>
      <c r="G13" s="125"/>
      <c r="H13" s="210"/>
      <c r="I13" s="219" t="str">
        <f>IF($K$7=0,"",IF(AND(OR(SUM(Uebersicht!$B$36:$B$40)&gt;0,SUM($W$3:$W$7)&gt;0),G13&gt;0,H13&gt;0),M13,IF(AND(OR(SUM(Uebersicht!$B$36:$B$40)&gt;0,SUM($W$3:$W$7)&gt;0),G13="",H13=""),IF(P13=0,"",P13),M13)))</f>
        <v/>
      </c>
      <c r="J13" s="220" t="str">
        <f t="shared" si="8"/>
        <v/>
      </c>
      <c r="K13" s="215"/>
      <c r="L13" s="192" t="str">
        <f t="shared" ref="L13:L41" si="12">IF(G13="","",IF(((HOUR(H13)*60+MINUTE(H13))-(HOUR(G13)*60+MINUTE(G13)))&gt;360,((HOUR(H13)*60+MINUTE(H13))-(HOUR(G13)*60+MINUTE(G13)))-30,((HOUR(H13)*60+MINUTE(H13))-(HOUR(G13)*60+MINUTE(G13)))))</f>
        <v/>
      </c>
      <c r="M13" s="130" t="str">
        <f t="shared" si="9"/>
        <v/>
      </c>
      <c r="N13" s="131">
        <f t="shared" ref="N13:N14" si="13">((HOUR(H13)*60+MINUTE(H13))/24)-((HOUR(G13)*60+MINUTE(G13))/24)</f>
        <v>0</v>
      </c>
      <c r="O13" s="132" t="str">
        <f t="shared" si="2"/>
        <v/>
      </c>
      <c r="P13" s="133">
        <f t="shared" si="10"/>
        <v>0</v>
      </c>
      <c r="Q13" s="133">
        <f t="shared" si="3"/>
        <v>0</v>
      </c>
      <c r="R13" s="133">
        <f t="shared" si="11"/>
        <v>0</v>
      </c>
      <c r="S13" s="245"/>
      <c r="T13" s="236" t="str">
        <f t="shared" si="4"/>
        <v/>
      </c>
      <c r="U13" s="40"/>
      <c r="V13" s="40" t="s">
        <v>72</v>
      </c>
      <c r="W13" s="88"/>
      <c r="X13" s="81" t="str">
        <f>IF($K$7=0,"",IF($X$1="nein","",IF($K$8="","",IF(W13="",Uebersicht!BI10,W13))))</f>
        <v/>
      </c>
      <c r="Y13" s="188">
        <f>IF(AND($X$1="",W13&gt;=1,$L$8=15),4,IF(AND($L$3="",$L$8=15),1,IF(AND(X13=0,SUM($X$12:$X$16)=0,$X$1="nein",$L$8=15),3,IF(AND(X13=0,SUM($X$12:$X$16)=0,$X$1="",$L$8=15),3,IF(AND(X13&gt;0,SUM($X$12:$X$16)&gt;0,SUM($W$12:$W$16)=0,$X$1="",$L$8=15),4,1)))))</f>
        <v>1</v>
      </c>
    </row>
    <row r="14" spans="1:25" x14ac:dyDescent="0.2">
      <c r="A14" s="199">
        <v>4</v>
      </c>
      <c r="B14" s="98">
        <f t="shared" si="5"/>
        <v>8</v>
      </c>
      <c r="C14" s="98">
        <f t="shared" si="6"/>
        <v>2017</v>
      </c>
      <c r="D14" s="200" t="str">
        <f t="shared" si="7"/>
        <v>Freitag</v>
      </c>
      <c r="E14" s="201" t="str">
        <f>IF(ISNA(INDEX(X!$W$7:$W$20,MATCH(DATE($G$7,$E$7,A14),X!$AC$7:$AC$20,0))),"X",1)</f>
        <v>X</v>
      </c>
      <c r="F14" s="202">
        <f t="shared" si="1"/>
        <v>1</v>
      </c>
      <c r="G14" s="103"/>
      <c r="H14" s="211"/>
      <c r="I14" s="219" t="str">
        <f>IF($K$7=0,"",IF(AND(OR(SUM(Uebersicht!$B$36:$B$40)&gt;0,SUM($W$3:$W$7)&gt;0),G14&gt;0,H14&gt;0),M14,IF(AND(OR(SUM(Uebersicht!$B$36:$B$40)&gt;0,SUM($W$3:$W$7)&gt;0),G14="",H14=""),IF(P14=0,"",P14),M14)))</f>
        <v/>
      </c>
      <c r="J14" s="220" t="str">
        <f t="shared" si="8"/>
        <v/>
      </c>
      <c r="K14" s="215"/>
      <c r="L14" s="192" t="str">
        <f t="shared" si="12"/>
        <v/>
      </c>
      <c r="M14" s="130" t="str">
        <f t="shared" si="9"/>
        <v/>
      </c>
      <c r="N14" s="131">
        <f t="shared" si="13"/>
        <v>0</v>
      </c>
      <c r="O14" s="132" t="str">
        <f t="shared" si="2"/>
        <v/>
      </c>
      <c r="P14" s="133">
        <f t="shared" si="10"/>
        <v>0</v>
      </c>
      <c r="Q14" s="133">
        <f t="shared" si="3"/>
        <v>0</v>
      </c>
      <c r="R14" s="133">
        <f t="shared" si="11"/>
        <v>0</v>
      </c>
      <c r="S14" s="245"/>
      <c r="T14" s="236" t="str">
        <f>IF(S14="","",(L14-(S14*60))/60)</f>
        <v/>
      </c>
      <c r="U14" s="40"/>
      <c r="V14" s="40" t="s">
        <v>73</v>
      </c>
      <c r="W14" s="88"/>
      <c r="X14" s="81" t="str">
        <f>IF($K$7=0,"",IF($X$1="nein","",IF($K$8="","",IF(W14="",Uebersicht!BJ10,W14))))</f>
        <v/>
      </c>
      <c r="Y14" s="188">
        <f>IF(AND($X$1="",W14&gt;=1,$L$8=15),4,IF(AND($L$3="",$L$8=15),1,IF(AND(X14=0,SUM($X$12:$X$16)=0,$X$1="nein",$L$8=15),3,IF(AND(X14=0,SUM($X$12:$X$16)=0,$X$1="",$L$8=15),3,IF(AND(X14&gt;0,SUM($X$12:$X$16)&gt;0,SUM($W$12:$W$16)=0,$X$1="",$L$8=15),4,1)))))</f>
        <v>1</v>
      </c>
    </row>
    <row r="15" spans="1:25" x14ac:dyDescent="0.2">
      <c r="A15" s="199">
        <v>5</v>
      </c>
      <c r="B15" s="98">
        <f t="shared" si="5"/>
        <v>8</v>
      </c>
      <c r="C15" s="98">
        <f t="shared" si="6"/>
        <v>2017</v>
      </c>
      <c r="D15" s="200" t="str">
        <f t="shared" si="7"/>
        <v>Samstag</v>
      </c>
      <c r="E15" s="201" t="str">
        <f>IF(ISNA(INDEX(X!$W$7:$W$20,MATCH(DATE($G$7,$E$7,A15),X!$AC$7:$AC$20,0))),"X",1)</f>
        <v>X</v>
      </c>
      <c r="F15" s="202">
        <f t="shared" si="1"/>
        <v>2</v>
      </c>
      <c r="G15" s="103"/>
      <c r="H15" s="211"/>
      <c r="I15" s="219" t="str">
        <f>IF($K$7=0,"",IF(AND(OR(SUM(Uebersicht!$B$36:$B$40)&gt;0,SUM($W$3:$W$7)&gt;0),G15&gt;0,H15&gt;0),M15,IF(AND(OR(SUM(Uebersicht!$B$36:$B$40)&gt;0,SUM($W$3:$W$7)&gt;0),G15="",H15=""),IF(P15=0,"",P15),M15)))</f>
        <v/>
      </c>
      <c r="J15" s="220" t="str">
        <f t="shared" si="8"/>
        <v/>
      </c>
      <c r="K15" s="215"/>
      <c r="L15" s="192" t="str">
        <f t="shared" si="12"/>
        <v/>
      </c>
      <c r="M15" s="130" t="str">
        <f t="shared" si="9"/>
        <v/>
      </c>
      <c r="N15" s="131">
        <f>((HOUR(H15)*60+MINUTE(H15))/24)-((HOUR(G15)*60+MINUTE(G15))/24)</f>
        <v>0</v>
      </c>
      <c r="O15" s="132" t="str">
        <f t="shared" si="2"/>
        <v/>
      </c>
      <c r="P15" s="133">
        <f t="shared" si="10"/>
        <v>0</v>
      </c>
      <c r="Q15" s="133">
        <f t="shared" si="3"/>
        <v>0</v>
      </c>
      <c r="R15" s="133">
        <f t="shared" si="11"/>
        <v>0</v>
      </c>
      <c r="S15" s="245"/>
      <c r="T15" s="236" t="str">
        <f t="shared" ref="T15:T41" si="14">IF(S15="","",(L15-(S15*60))/60)</f>
        <v/>
      </c>
      <c r="U15" s="40"/>
      <c r="V15" s="40" t="s">
        <v>74</v>
      </c>
      <c r="W15" s="88"/>
      <c r="X15" s="81" t="str">
        <f>IF($K$7=0,"",IF($X$1="nein","",IF($K$8="","",IF(W15="",Uebersicht!BK10,W15))))</f>
        <v/>
      </c>
      <c r="Y15" s="188">
        <f>IF(AND($X$1="",W15&gt;=1,$L$8=15),4,IF(AND($L$3="",$L$8=15),1,IF(AND(X15=0,SUM($X$12:$X$16)=0,$X$1="nein",$L$8=15),3,IF(AND(X15=0,SUM($X$12:$X$16)=0,$X$1="",$L$8=15),3,IF(AND(X15&gt;0,SUM($X$12:$X$16)&gt;0,SUM($W$12:$W$16)=0,$X$1="",$L$8=15),4,1)))))</f>
        <v>1</v>
      </c>
    </row>
    <row r="16" spans="1:25" x14ac:dyDescent="0.2">
      <c r="A16" s="199">
        <v>6</v>
      </c>
      <c r="B16" s="98">
        <f t="shared" si="5"/>
        <v>8</v>
      </c>
      <c r="C16" s="98">
        <f t="shared" si="6"/>
        <v>2017</v>
      </c>
      <c r="D16" s="200" t="str">
        <f t="shared" si="7"/>
        <v>Sonntag</v>
      </c>
      <c r="E16" s="201" t="str">
        <f>IF(ISNA(INDEX(X!$W$7:$W$20,MATCH(DATE($G$7,$E$7,A16),X!$AC$7:$AC$20,0))),"X",1)</f>
        <v>X</v>
      </c>
      <c r="F16" s="202">
        <f t="shared" si="1"/>
        <v>2</v>
      </c>
      <c r="G16" s="103"/>
      <c r="H16" s="211"/>
      <c r="I16" s="219" t="str">
        <f>IF($K$7=0,"",IF(AND(OR(SUM(Uebersicht!$B$36:$B$40)&gt;0,SUM($W$3:$W$7)&gt;0),G16&gt;0,H16&gt;0),M16,IF(AND(OR(SUM(Uebersicht!$B$36:$B$40)&gt;0,SUM($W$3:$W$7)&gt;0),G16="",H16=""),IF(P16=0,"",P16),M16)))</f>
        <v/>
      </c>
      <c r="J16" s="220" t="str">
        <f t="shared" si="8"/>
        <v/>
      </c>
      <c r="K16" s="215"/>
      <c r="L16" s="192" t="str">
        <f t="shared" si="12"/>
        <v/>
      </c>
      <c r="M16" s="130" t="str">
        <f t="shared" si="9"/>
        <v/>
      </c>
      <c r="N16" s="131">
        <f t="shared" ref="N16:N41" si="15">((HOUR(H16)*60+MINUTE(H16))/24)-((HOUR(G16)*60+MINUTE(G16))/24)</f>
        <v>0</v>
      </c>
      <c r="O16" s="132" t="str">
        <f t="shared" si="2"/>
        <v/>
      </c>
      <c r="P16" s="133">
        <f t="shared" si="10"/>
        <v>0</v>
      </c>
      <c r="Q16" s="133">
        <f t="shared" si="3"/>
        <v>0</v>
      </c>
      <c r="R16" s="133">
        <f t="shared" si="11"/>
        <v>0</v>
      </c>
      <c r="S16" s="245"/>
      <c r="T16" s="236" t="str">
        <f t="shared" si="14"/>
        <v/>
      </c>
      <c r="U16" s="40"/>
      <c r="V16" s="40" t="s">
        <v>75</v>
      </c>
      <c r="W16" s="88"/>
      <c r="X16" s="81" t="str">
        <f>IF($K$7=0,"",IF($X$1="nein","",IF($K$8="","",IF(W16="",Uebersicht!BL10,W16))))</f>
        <v/>
      </c>
      <c r="Y16" s="188">
        <f>IF(AND($X$1="",W16&gt;=1,$L$8=15),4,IF(AND($L$3="",$L$8=15),1,IF(AND(X16=0,SUM($X$12:$X$16)=0,$X$1="nein",$L$8=15),3,IF(AND(X16=0,SUM($X$12:$X$16)=0,$X$1="",$L$8=15),3,IF(AND(X16&gt;0,SUM($X$12:$X$16)&gt;0,SUM($W$12:$W$16)=0,$X$1="",$L$8=15),4,1)))))</f>
        <v>1</v>
      </c>
    </row>
    <row r="17" spans="1:25" x14ac:dyDescent="0.2">
      <c r="A17" s="199">
        <v>7</v>
      </c>
      <c r="B17" s="98">
        <f t="shared" si="5"/>
        <v>8</v>
      </c>
      <c r="C17" s="98">
        <f t="shared" si="6"/>
        <v>2017</v>
      </c>
      <c r="D17" s="200" t="str">
        <f t="shared" si="7"/>
        <v>Montag</v>
      </c>
      <c r="E17" s="201" t="str">
        <f>IF(ISNA(INDEX(X!$W$7:$W$20,MATCH(DATE($G$7,$E$7,A17),X!$AC$7:$AC$20,0))),"X",1)</f>
        <v>X</v>
      </c>
      <c r="F17" s="202">
        <f t="shared" si="1"/>
        <v>1</v>
      </c>
      <c r="G17" s="103"/>
      <c r="H17" s="211"/>
      <c r="I17" s="219" t="str">
        <f>IF($K$7=0,"",IF(AND(OR(SUM(Uebersicht!$B$36:$B$40)&gt;0,SUM($W$3:$W$7)&gt;0),G17&gt;0,H17&gt;0),M17,IF(AND(OR(SUM(Uebersicht!$B$36:$B$40)&gt;0,SUM($W$3:$W$7)&gt;0),G17="",H17=""),IF(P17=0,"",P17),M17)))</f>
        <v/>
      </c>
      <c r="J17" s="220" t="str">
        <f t="shared" si="8"/>
        <v/>
      </c>
      <c r="K17" s="215"/>
      <c r="L17" s="192" t="str">
        <f t="shared" si="12"/>
        <v/>
      </c>
      <c r="M17" s="130" t="str">
        <f t="shared" si="9"/>
        <v/>
      </c>
      <c r="N17" s="131">
        <f t="shared" si="15"/>
        <v>0</v>
      </c>
      <c r="O17" s="132" t="str">
        <f>IF(N17=0,IF(M17="","",IF((M17/60)&lt;0,TEXT(-((M17/60)/24),"-[h]:mm"),IF((M17/60)&gt;24,TEXT((((M17/60)-24)/24)+(24/24),"[hh]:mm"),M16/60))),IF(N17&gt;15,(N17-(30/24))/60,N17/60))</f>
        <v/>
      </c>
      <c r="P17" s="133">
        <f t="shared" si="10"/>
        <v>0</v>
      </c>
      <c r="Q17" s="133">
        <f t="shared" si="3"/>
        <v>0</v>
      </c>
      <c r="R17" s="133">
        <f t="shared" si="11"/>
        <v>0</v>
      </c>
      <c r="S17" s="245"/>
      <c r="T17" s="236" t="str">
        <f t="shared" si="14"/>
        <v/>
      </c>
      <c r="U17" s="40"/>
      <c r="V17" s="40"/>
      <c r="W17" s="40" t="str">
        <f>IF(K8="","",IF(IF(SUM(W12:W16)&gt;0,SUM(W12:W16),(SUM(X12:X16)))&gt;K8,"zu viel!",IF(IF(SUM(W12:W16)&gt;0,SUM(W12:W16),SUM(X12:X16))&lt;K8,"zu wenig!","")))</f>
        <v/>
      </c>
      <c r="X17" s="116" t="str">
        <f>IF(OR(X10="nein",SUM(X12:X16)=0),"ja",IF(OR(SUM(Uebersicht!B45:B49)&gt;0,SUM(W12:W16)&gt;0,SUM(X12:X16)&gt;0),"nein","ja"))</f>
        <v>ja</v>
      </c>
      <c r="Y17" s="188"/>
    </row>
    <row r="18" spans="1:25" x14ac:dyDescent="0.2">
      <c r="A18" s="199">
        <v>8</v>
      </c>
      <c r="B18" s="98">
        <f t="shared" si="5"/>
        <v>8</v>
      </c>
      <c r="C18" s="98">
        <f t="shared" si="6"/>
        <v>2017</v>
      </c>
      <c r="D18" s="200" t="str">
        <f t="shared" si="7"/>
        <v>Dienstag</v>
      </c>
      <c r="E18" s="201" t="str">
        <f>IF(ISNA(INDEX(X!$W$7:$W$20,MATCH(DATE($G$7,$E$7,A18),X!$AC$7:$AC$20,0))),"X",1)</f>
        <v>X</v>
      </c>
      <c r="F18" s="202">
        <f t="shared" si="1"/>
        <v>1</v>
      </c>
      <c r="G18" s="103"/>
      <c r="H18" s="211"/>
      <c r="I18" s="219" t="str">
        <f>IF($K$7=0,"",IF(AND(OR(SUM(Uebersicht!$B$36:$B$40)&gt;0,SUM($W$3:$W$7)&gt;0),G18&gt;0,H18&gt;0),M18,IF(AND(OR(SUM(Uebersicht!$B$36:$B$40)&gt;0,SUM($W$3:$W$7)&gt;0),G18="",H18=""),IF(P18=0,"",P18),M18)))</f>
        <v/>
      </c>
      <c r="J18" s="220" t="str">
        <f t="shared" si="8"/>
        <v/>
      </c>
      <c r="K18" s="215"/>
      <c r="L18" s="192" t="str">
        <f t="shared" si="12"/>
        <v/>
      </c>
      <c r="M18" s="130" t="str">
        <f t="shared" si="9"/>
        <v/>
      </c>
      <c r="N18" s="131">
        <f t="shared" si="15"/>
        <v>0</v>
      </c>
      <c r="O18" s="132" t="str">
        <f t="shared" ref="O18:O41" si="16">IF(N18=0,IF(M18="","",IF((M18/60)&lt;0,TEXT(-((M18/60)/24),"-[h]:mm"),IF((M18/60)&gt;24,TEXT((((M18/60)-24)/24)+(24/24),"[hh]:mm"),M17/60))),IF(N18&gt;15,(N18-(30/24))/60,N18/60))</f>
        <v/>
      </c>
      <c r="P18" s="133">
        <f t="shared" si="10"/>
        <v>0</v>
      </c>
      <c r="Q18" s="133">
        <f t="shared" si="3"/>
        <v>0</v>
      </c>
      <c r="R18" s="133">
        <f t="shared" si="11"/>
        <v>0</v>
      </c>
      <c r="S18" s="245"/>
      <c r="T18" s="236" t="str">
        <f t="shared" si="14"/>
        <v/>
      </c>
      <c r="U18" s="40"/>
      <c r="V18" s="40"/>
      <c r="W18" s="40"/>
      <c r="X18" s="89"/>
      <c r="Y18" s="188"/>
    </row>
    <row r="19" spans="1:25" x14ac:dyDescent="0.2">
      <c r="A19" s="199">
        <v>9</v>
      </c>
      <c r="B19" s="98">
        <f t="shared" si="5"/>
        <v>8</v>
      </c>
      <c r="C19" s="98">
        <f t="shared" si="6"/>
        <v>2017</v>
      </c>
      <c r="D19" s="200" t="str">
        <f t="shared" si="7"/>
        <v>Mittwoch</v>
      </c>
      <c r="E19" s="201" t="str">
        <f>IF(ISNA(INDEX(X!$W$7:$W$20,MATCH(DATE($G$7,$E$7,A19),X!$AC$7:$AC$20,0))),"X",1)</f>
        <v>X</v>
      </c>
      <c r="F19" s="202">
        <f t="shared" si="1"/>
        <v>1</v>
      </c>
      <c r="G19" s="104"/>
      <c r="H19" s="212"/>
      <c r="I19" s="219" t="str">
        <f>IF($K$7=0,"",IF(AND(OR(SUM(Uebersicht!$B$36:$B$40)&gt;0,SUM($W$3:$W$7)&gt;0),G19&gt;0,H19&gt;0),M19,IF(AND(OR(SUM(Uebersicht!$B$36:$B$40)&gt;0,SUM($W$3:$W$7)&gt;0),G19="",H19=""),IF(P19=0,"",P19),M19)))</f>
        <v/>
      </c>
      <c r="J19" s="220" t="str">
        <f t="shared" si="8"/>
        <v/>
      </c>
      <c r="K19" s="215"/>
      <c r="L19" s="192" t="str">
        <f t="shared" si="12"/>
        <v/>
      </c>
      <c r="M19" s="130" t="str">
        <f t="shared" si="9"/>
        <v/>
      </c>
      <c r="N19" s="131">
        <f t="shared" si="15"/>
        <v>0</v>
      </c>
      <c r="O19" s="132" t="str">
        <f t="shared" si="16"/>
        <v/>
      </c>
      <c r="P19" s="133">
        <f t="shared" si="10"/>
        <v>0</v>
      </c>
      <c r="Q19" s="133">
        <f t="shared" si="3"/>
        <v>0</v>
      </c>
      <c r="R19" s="133">
        <f t="shared" si="11"/>
        <v>0</v>
      </c>
      <c r="S19" s="245"/>
      <c r="T19" s="236" t="str">
        <f t="shared" si="14"/>
        <v/>
      </c>
      <c r="U19" s="40"/>
      <c r="V19" s="40"/>
      <c r="W19" s="40"/>
      <c r="X19" s="89"/>
      <c r="Y19" s="264"/>
    </row>
    <row r="20" spans="1:25" x14ac:dyDescent="0.2">
      <c r="A20" s="199">
        <v>10</v>
      </c>
      <c r="B20" s="98">
        <f t="shared" si="5"/>
        <v>8</v>
      </c>
      <c r="C20" s="98">
        <f t="shared" si="6"/>
        <v>2017</v>
      </c>
      <c r="D20" s="200" t="str">
        <f t="shared" si="7"/>
        <v>Donnerstag</v>
      </c>
      <c r="E20" s="201" t="str">
        <f>IF(ISNA(INDEX(X!$W$7:$W$20,MATCH(DATE($G$7,$E$7,A20),X!$AC$7:$AC$20,0))),"X",1)</f>
        <v>X</v>
      </c>
      <c r="F20" s="202">
        <f t="shared" si="1"/>
        <v>1</v>
      </c>
      <c r="G20" s="125"/>
      <c r="H20" s="210"/>
      <c r="I20" s="219" t="str">
        <f>IF($K$7=0,"",IF(AND(OR(SUM(Uebersicht!$B$36:$B$40)&gt;0,SUM($W$3:$W$7)&gt;0),G20&gt;0,H20&gt;0),M20,IF(AND(OR(SUM(Uebersicht!$B$36:$B$40)&gt;0,SUM($W$3:$W$7)&gt;0),G20="",H20=""),IF(P20=0,"",P20),M20)))</f>
        <v/>
      </c>
      <c r="J20" s="220" t="str">
        <f t="shared" si="8"/>
        <v/>
      </c>
      <c r="K20" s="215"/>
      <c r="L20" s="192" t="str">
        <f t="shared" si="12"/>
        <v/>
      </c>
      <c r="M20" s="130" t="str">
        <f t="shared" si="9"/>
        <v/>
      </c>
      <c r="N20" s="131">
        <f t="shared" si="15"/>
        <v>0</v>
      </c>
      <c r="O20" s="132" t="str">
        <f t="shared" si="16"/>
        <v/>
      </c>
      <c r="P20" s="133">
        <f t="shared" si="10"/>
        <v>0</v>
      </c>
      <c r="Q20" s="133">
        <f t="shared" si="3"/>
        <v>0</v>
      </c>
      <c r="R20" s="133">
        <f t="shared" si="11"/>
        <v>0</v>
      </c>
      <c r="S20" s="245"/>
      <c r="T20" s="236" t="str">
        <f t="shared" si="14"/>
        <v/>
      </c>
      <c r="U20" s="40"/>
      <c r="V20" s="40"/>
      <c r="W20" s="40"/>
      <c r="X20" s="89"/>
      <c r="Y20" s="264"/>
    </row>
    <row r="21" spans="1:25" x14ac:dyDescent="0.2">
      <c r="A21" s="199">
        <v>11</v>
      </c>
      <c r="B21" s="98">
        <f t="shared" si="5"/>
        <v>8</v>
      </c>
      <c r="C21" s="98">
        <f t="shared" si="6"/>
        <v>2017</v>
      </c>
      <c r="D21" s="200" t="str">
        <f t="shared" si="7"/>
        <v>Freitag</v>
      </c>
      <c r="E21" s="201" t="str">
        <f>IF(ISNA(INDEX(X!$W$7:$W$20,MATCH(DATE($G$7,$E$7,A21),X!$AC$7:$AC$20,0))),"X",1)</f>
        <v>X</v>
      </c>
      <c r="F21" s="202">
        <f t="shared" si="1"/>
        <v>1</v>
      </c>
      <c r="G21" s="104"/>
      <c r="H21" s="212"/>
      <c r="I21" s="219" t="str">
        <f>IF($K$7=0,"",IF(AND(OR(SUM(Uebersicht!$B$36:$B$40)&gt;0,SUM($W$3:$W$7)&gt;0),G21&gt;0,H21&gt;0),M21,IF(AND(OR(SUM(Uebersicht!$B$36:$B$40)&gt;0,SUM($W$3:$W$7)&gt;0),G21="",H21=""),IF(P21=0,"",P21),M21)))</f>
        <v/>
      </c>
      <c r="J21" s="220" t="str">
        <f t="shared" si="8"/>
        <v/>
      </c>
      <c r="K21" s="215"/>
      <c r="L21" s="192" t="str">
        <f t="shared" si="12"/>
        <v/>
      </c>
      <c r="M21" s="130" t="str">
        <f t="shared" si="9"/>
        <v/>
      </c>
      <c r="N21" s="131">
        <f t="shared" si="15"/>
        <v>0</v>
      </c>
      <c r="O21" s="132" t="str">
        <f t="shared" si="16"/>
        <v/>
      </c>
      <c r="P21" s="133">
        <f t="shared" si="10"/>
        <v>0</v>
      </c>
      <c r="Q21" s="133">
        <f t="shared" si="3"/>
        <v>0</v>
      </c>
      <c r="R21" s="133">
        <f t="shared" si="11"/>
        <v>0</v>
      </c>
      <c r="S21" s="245"/>
      <c r="T21" s="236" t="str">
        <f t="shared" si="14"/>
        <v/>
      </c>
      <c r="U21" s="40"/>
      <c r="V21" s="40"/>
      <c r="W21" s="40"/>
      <c r="X21" s="89"/>
      <c r="Y21" s="264"/>
    </row>
    <row r="22" spans="1:25" x14ac:dyDescent="0.2">
      <c r="A22" s="199">
        <v>12</v>
      </c>
      <c r="B22" s="98">
        <f t="shared" si="5"/>
        <v>8</v>
      </c>
      <c r="C22" s="98">
        <f t="shared" si="6"/>
        <v>2017</v>
      </c>
      <c r="D22" s="200" t="str">
        <f t="shared" si="7"/>
        <v>Samstag</v>
      </c>
      <c r="E22" s="201" t="str">
        <f>IF(ISNA(INDEX(X!$W$7:$W$20,MATCH(DATE($G$7,$E$7,A22),X!$AC$7:$AC$20,0))),"X",1)</f>
        <v>X</v>
      </c>
      <c r="F22" s="202">
        <f t="shared" si="1"/>
        <v>2</v>
      </c>
      <c r="G22" s="103"/>
      <c r="H22" s="211"/>
      <c r="I22" s="219" t="str">
        <f>IF($K$7=0,"",IF(AND(OR(SUM(Uebersicht!$B$36:$B$40)&gt;0,SUM($W$3:$W$7)&gt;0),G22&gt;0,H22&gt;0),M22,IF(AND(OR(SUM(Uebersicht!$B$36:$B$40)&gt;0,SUM($W$3:$W$7)&gt;0),G22="",H22=""),IF(P22=0,"",P22),M22)))</f>
        <v/>
      </c>
      <c r="J22" s="220" t="str">
        <f t="shared" si="8"/>
        <v/>
      </c>
      <c r="K22" s="215"/>
      <c r="L22" s="192" t="str">
        <f t="shared" si="12"/>
        <v/>
      </c>
      <c r="M22" s="130" t="str">
        <f t="shared" si="9"/>
        <v/>
      </c>
      <c r="N22" s="131">
        <f t="shared" si="15"/>
        <v>0</v>
      </c>
      <c r="O22" s="132" t="str">
        <f t="shared" si="16"/>
        <v/>
      </c>
      <c r="P22" s="133">
        <f t="shared" si="10"/>
        <v>0</v>
      </c>
      <c r="Q22" s="133">
        <f t="shared" si="3"/>
        <v>0</v>
      </c>
      <c r="R22" s="133">
        <f t="shared" si="11"/>
        <v>0</v>
      </c>
      <c r="S22" s="245"/>
      <c r="T22" s="236" t="str">
        <f t="shared" si="14"/>
        <v/>
      </c>
      <c r="U22" s="40"/>
      <c r="V22" s="40"/>
      <c r="W22" s="40"/>
      <c r="X22" s="89"/>
      <c r="Y22" s="264"/>
    </row>
    <row r="23" spans="1:25" x14ac:dyDescent="0.2">
      <c r="A23" s="199">
        <v>13</v>
      </c>
      <c r="B23" s="98">
        <f t="shared" si="5"/>
        <v>8</v>
      </c>
      <c r="C23" s="98">
        <f t="shared" si="6"/>
        <v>2017</v>
      </c>
      <c r="D23" s="200" t="str">
        <f t="shared" si="7"/>
        <v>Sonntag</v>
      </c>
      <c r="E23" s="201" t="str">
        <f>IF(ISNA(INDEX(X!$W$7:$W$20,MATCH(DATE($G$7,$E$7,A23),X!$AC$7:$AC$20,0))),"X",1)</f>
        <v>X</v>
      </c>
      <c r="F23" s="202">
        <f t="shared" si="1"/>
        <v>2</v>
      </c>
      <c r="G23" s="103"/>
      <c r="H23" s="211"/>
      <c r="I23" s="219" t="str">
        <f>IF($K$7=0,"",IF(AND(OR(SUM(Uebersicht!$B$36:$B$40)&gt;0,SUM($W$3:$W$7)&gt;0),G23&gt;0,H23&gt;0),M23,IF(AND(OR(SUM(Uebersicht!$B$36:$B$40)&gt;0,SUM($W$3:$W$7)&gt;0),G23="",H23=""),IF(P23=0,"",P23),M23)))</f>
        <v/>
      </c>
      <c r="J23" s="220" t="str">
        <f t="shared" si="8"/>
        <v/>
      </c>
      <c r="K23" s="215"/>
      <c r="L23" s="192" t="str">
        <f t="shared" si="12"/>
        <v/>
      </c>
      <c r="M23" s="130" t="str">
        <f t="shared" si="9"/>
        <v/>
      </c>
      <c r="N23" s="131">
        <f t="shared" si="15"/>
        <v>0</v>
      </c>
      <c r="O23" s="132" t="str">
        <f t="shared" si="16"/>
        <v/>
      </c>
      <c r="P23" s="133">
        <f t="shared" si="10"/>
        <v>0</v>
      </c>
      <c r="Q23" s="133">
        <f t="shared" si="3"/>
        <v>0</v>
      </c>
      <c r="R23" s="133">
        <f t="shared" si="11"/>
        <v>0</v>
      </c>
      <c r="S23" s="245"/>
      <c r="T23" s="236" t="str">
        <f t="shared" si="14"/>
        <v/>
      </c>
      <c r="U23" s="40"/>
      <c r="V23" s="40"/>
      <c r="W23" s="40"/>
      <c r="X23" s="89"/>
      <c r="Y23" s="264"/>
    </row>
    <row r="24" spans="1:25" ht="13.5" thickBot="1" x14ac:dyDescent="0.25">
      <c r="A24" s="199">
        <v>14</v>
      </c>
      <c r="B24" s="98">
        <f t="shared" si="5"/>
        <v>8</v>
      </c>
      <c r="C24" s="98">
        <f t="shared" si="6"/>
        <v>2017</v>
      </c>
      <c r="D24" s="200" t="str">
        <f t="shared" si="7"/>
        <v>Montag</v>
      </c>
      <c r="E24" s="201" t="str">
        <f>IF(ISNA(INDEX(X!$W$7:$W$20,MATCH(DATE($G$7,$E$7,A24),X!$AC$7:$AC$20,0))),"X",1)</f>
        <v>X</v>
      </c>
      <c r="F24" s="202">
        <f t="shared" si="1"/>
        <v>1</v>
      </c>
      <c r="G24" s="125"/>
      <c r="H24" s="210"/>
      <c r="I24" s="219" t="str">
        <f>IF($K$7=0,"",IF(AND(OR(SUM(Uebersicht!$B$36:$B$40)&gt;0,SUM($W$3:$W$7)&gt;0),G24&gt;0,H24&gt;0),M24,IF(AND(OR(SUM(Uebersicht!$B$36:$B$40)&gt;0,SUM($W$3:$W$7)&gt;0),G24="",H24=""),IF(P24=0,"",P24),M24)))</f>
        <v/>
      </c>
      <c r="J24" s="220" t="str">
        <f t="shared" si="8"/>
        <v/>
      </c>
      <c r="K24" s="215"/>
      <c r="L24" s="192" t="str">
        <f t="shared" si="12"/>
        <v/>
      </c>
      <c r="M24" s="157" t="str">
        <f t="shared" si="9"/>
        <v/>
      </c>
      <c r="N24" s="158">
        <f t="shared" si="15"/>
        <v>0</v>
      </c>
      <c r="O24" s="159" t="str">
        <f t="shared" si="16"/>
        <v/>
      </c>
      <c r="P24" s="160">
        <f t="shared" si="10"/>
        <v>0</v>
      </c>
      <c r="Q24" s="160">
        <f t="shared" si="3"/>
        <v>0</v>
      </c>
      <c r="R24" s="160">
        <f t="shared" si="11"/>
        <v>0</v>
      </c>
      <c r="S24" s="245"/>
      <c r="T24" s="236" t="str">
        <f t="shared" si="14"/>
        <v/>
      </c>
      <c r="U24" s="40"/>
      <c r="V24" s="40"/>
      <c r="W24" s="40"/>
      <c r="X24" s="89"/>
      <c r="Y24" s="264"/>
    </row>
    <row r="25" spans="1:25" x14ac:dyDescent="0.2">
      <c r="A25" s="199">
        <v>15</v>
      </c>
      <c r="B25" s="98">
        <f t="shared" si="5"/>
        <v>8</v>
      </c>
      <c r="C25" s="98">
        <f t="shared" si="6"/>
        <v>2017</v>
      </c>
      <c r="D25" s="200" t="str">
        <f t="shared" si="7"/>
        <v>Dienstag</v>
      </c>
      <c r="E25" s="201" t="str">
        <f>IF(ISNA(INDEX(X!$W$7:$W$20,MATCH(DATE($G$7,$E$7,A25),X!$AC$7:$AC$20,0))),"X",1)</f>
        <v>X</v>
      </c>
      <c r="F25" s="202">
        <f>IF(OR(E25=1,D25="Samstag",D25="Sonntag"),2,IF(AND($K$7=0,$L$8=""),1,IF(AND($K$7&gt;0,$L$2=0,$L$3=32,$L$8=""),SUMIFS($Y$3:$Y$7,$V$3:$V$7,D25),IF(AND($K$7&gt;0,$L$2=0,$L$3="",$L$8=15,A25&lt;15),SUMIFS($Y$3:$Y$7,$V$3:$V$7,D25),IF(AND($K$7&gt;0,$L$2=0,$L$3&gt;0,$L$8=15,A25&lt;15),SUMIFS($Y$3:$Y$7,$V$3:$V$7,D25),IF(AND($K$7&gt;0,$L$2=0,$L$3&gt;0,$L$8=15,A25&gt;14),SUMIFS($Y$12:$Y$16,$V$12:$V$16,D25),IF(AND($K$7=0,$L$2="",$L$3=32,$L$8=15,A25&gt;14),SUMIFS($Y$12:$Y$16,$V$12:$V$16,D25),1)))))))</f>
        <v>1</v>
      </c>
      <c r="G25" s="103"/>
      <c r="H25" s="211"/>
      <c r="I25" s="219" t="str">
        <f>IF($K$7=0,"",IF(AND(OR(SUM(Uebersicht!$B$36:$B$40)&gt;0,SUM($W$3:$W$7)&gt;0),G25&gt;0,H25&gt;0),M25,IF(AND(OR(SUM(Uebersicht!$B$36:$B$40)&gt;0,SUM($W$3:$W$7)&gt;0),G25="",H25=""),IF(P25=0,"",P25),M25)))</f>
        <v/>
      </c>
      <c r="J25" s="220" t="str">
        <f t="shared" si="8"/>
        <v/>
      </c>
      <c r="K25" s="215"/>
      <c r="L25" s="192" t="str">
        <f t="shared" si="12"/>
        <v/>
      </c>
      <c r="M25" s="162" t="str">
        <f t="shared" si="9"/>
        <v/>
      </c>
      <c r="N25" s="163">
        <f t="shared" si="15"/>
        <v>0</v>
      </c>
      <c r="O25" s="164" t="str">
        <f t="shared" si="16"/>
        <v/>
      </c>
      <c r="P25" s="165">
        <f t="shared" si="10"/>
        <v>0</v>
      </c>
      <c r="Q25" s="165">
        <f t="shared" si="3"/>
        <v>0</v>
      </c>
      <c r="R25" s="165">
        <f t="shared" si="11"/>
        <v>0</v>
      </c>
      <c r="S25" s="245"/>
      <c r="T25" s="236" t="str">
        <f t="shared" si="14"/>
        <v/>
      </c>
      <c r="U25" s="40"/>
      <c r="V25" s="40"/>
      <c r="W25" s="40"/>
      <c r="X25" s="89"/>
      <c r="Y25" s="264"/>
    </row>
    <row r="26" spans="1:25" x14ac:dyDescent="0.2">
      <c r="A26" s="199">
        <v>16</v>
      </c>
      <c r="B26" s="98">
        <f t="shared" si="5"/>
        <v>8</v>
      </c>
      <c r="C26" s="98">
        <f t="shared" si="6"/>
        <v>2017</v>
      </c>
      <c r="D26" s="200" t="str">
        <f t="shared" si="7"/>
        <v>Mittwoch</v>
      </c>
      <c r="E26" s="201" t="str">
        <f>IF(ISNA(INDEX(X!$W$7:$W$20,MATCH(DATE($G$7,$E$7,A26),X!$AC$7:$AC$20,0))),"X",1)</f>
        <v>X</v>
      </c>
      <c r="F26" s="202">
        <f t="shared" ref="F26:F41" si="17">IF(OR(E26=1,D26="Samstag",D26="Sonntag"),2,IF(AND($K$7=0,$L$8=""),1,IF(AND($K$7&gt;0,$L$2=0,$L$3=32,$L$8=""),SUMIFS($Y$3:$Y$7,$V$3:$V$7,D26),IF(AND($K$7&gt;0,$L$2=0,$L$3="",$L$8=15,A26&lt;15),SUMIFS($Y$3:$Y$7,$V$3:$V$7,D26),IF(AND($K$7&gt;0,$L$2=0,$L$3&gt;0,$L$8=15,A26&lt;15),SUMIFS($Y$3:$Y$7,$V$3:$V$7,D26),IF(AND($K$7&gt;0,$L$2=0,$L$3&gt;0,$L$8=15,A26&gt;14),SUMIFS($Y$12:$Y$16,$V$12:$V$16,D26),IF(AND($K$7=0,$L$2="",$L$3=32,$L$8=15,A26&gt;14),SUMIFS($Y$12:$Y$16,$V$12:$V$16,D26),1)))))))</f>
        <v>1</v>
      </c>
      <c r="G26" s="103"/>
      <c r="H26" s="211"/>
      <c r="I26" s="219" t="str">
        <f>IF($K$7=0,"",IF(AND(OR(SUM(Uebersicht!$B$36:$B$40)&gt;0,SUM($W$3:$W$7)&gt;0),G26&gt;0,H26&gt;0),M26,IF(AND(OR(SUM(Uebersicht!$B$36:$B$40)&gt;0,SUM($W$3:$W$7)&gt;0),G26="",H26=""),IF(P26=0,"",P26),M26)))</f>
        <v/>
      </c>
      <c r="J26" s="220" t="str">
        <f t="shared" si="8"/>
        <v/>
      </c>
      <c r="K26" s="215"/>
      <c r="L26" s="192" t="str">
        <f t="shared" si="12"/>
        <v/>
      </c>
      <c r="M26" s="130" t="str">
        <f t="shared" si="9"/>
        <v/>
      </c>
      <c r="N26" s="131">
        <f t="shared" si="15"/>
        <v>0</v>
      </c>
      <c r="O26" s="132" t="str">
        <f t="shared" si="16"/>
        <v/>
      </c>
      <c r="P26" s="133">
        <f t="shared" si="10"/>
        <v>0</v>
      </c>
      <c r="Q26" s="133">
        <f t="shared" si="3"/>
        <v>0</v>
      </c>
      <c r="R26" s="133">
        <f t="shared" si="11"/>
        <v>0</v>
      </c>
      <c r="S26" s="245"/>
      <c r="T26" s="236" t="str">
        <f t="shared" si="14"/>
        <v/>
      </c>
      <c r="U26" s="40"/>
      <c r="V26" s="40"/>
      <c r="W26" s="40"/>
      <c r="X26" s="89"/>
      <c r="Y26" s="264"/>
    </row>
    <row r="27" spans="1:25" x14ac:dyDescent="0.2">
      <c r="A27" s="199">
        <v>17</v>
      </c>
      <c r="B27" s="98">
        <f t="shared" si="5"/>
        <v>8</v>
      </c>
      <c r="C27" s="98">
        <f t="shared" si="6"/>
        <v>2017</v>
      </c>
      <c r="D27" s="200" t="str">
        <f t="shared" si="7"/>
        <v>Donnerstag</v>
      </c>
      <c r="E27" s="201" t="str">
        <f>IF(ISNA(INDEX(X!$W$7:$W$20,MATCH(DATE($G$7,$E$7,A27),X!$AC$7:$AC$20,0))),"X",1)</f>
        <v>X</v>
      </c>
      <c r="F27" s="202">
        <f t="shared" si="17"/>
        <v>1</v>
      </c>
      <c r="G27" s="103"/>
      <c r="H27" s="211"/>
      <c r="I27" s="219" t="str">
        <f>IF($K$7=0,"",IF(AND(OR(SUM(Uebersicht!$B$36:$B$40)&gt;0,SUM($W$3:$W$7)&gt;0),G27&gt;0,H27&gt;0),M27,IF(AND(OR(SUM(Uebersicht!$B$36:$B$40)&gt;0,SUM($W$3:$W$7)&gt;0),G27="",H27=""),IF(P27=0,"",P27),M27)))</f>
        <v/>
      </c>
      <c r="J27" s="220" t="str">
        <f t="shared" si="8"/>
        <v/>
      </c>
      <c r="K27" s="215"/>
      <c r="L27" s="192" t="str">
        <f t="shared" si="12"/>
        <v/>
      </c>
      <c r="M27" s="130" t="str">
        <f t="shared" si="9"/>
        <v/>
      </c>
      <c r="N27" s="131">
        <f t="shared" si="15"/>
        <v>0</v>
      </c>
      <c r="O27" s="132" t="str">
        <f t="shared" si="16"/>
        <v/>
      </c>
      <c r="P27" s="133">
        <f t="shared" si="10"/>
        <v>0</v>
      </c>
      <c r="Q27" s="133">
        <f t="shared" si="3"/>
        <v>0</v>
      </c>
      <c r="R27" s="133">
        <f t="shared" si="11"/>
        <v>0</v>
      </c>
      <c r="S27" s="245"/>
      <c r="T27" s="236" t="str">
        <f t="shared" si="14"/>
        <v/>
      </c>
      <c r="U27" s="40"/>
      <c r="V27" s="40"/>
      <c r="W27" s="40"/>
      <c r="X27" s="89"/>
      <c r="Y27" s="264"/>
    </row>
    <row r="28" spans="1:25" x14ac:dyDescent="0.2">
      <c r="A28" s="199">
        <v>18</v>
      </c>
      <c r="B28" s="98">
        <f t="shared" si="5"/>
        <v>8</v>
      </c>
      <c r="C28" s="98">
        <f t="shared" si="6"/>
        <v>2017</v>
      </c>
      <c r="D28" s="200" t="str">
        <f t="shared" si="7"/>
        <v>Freitag</v>
      </c>
      <c r="E28" s="201" t="str">
        <f>IF(ISNA(INDEX(X!$W$7:$W$20,MATCH(DATE($G$7,$E$7,A28),X!$AC$7:$AC$20,0))),"X",1)</f>
        <v>X</v>
      </c>
      <c r="F28" s="202">
        <f t="shared" si="17"/>
        <v>1</v>
      </c>
      <c r="G28" s="103"/>
      <c r="H28" s="211"/>
      <c r="I28" s="219" t="str">
        <f>IF($K$7=0,"",IF(AND(OR(SUM(Uebersicht!$B$36:$B$40)&gt;0,SUM($W$3:$W$7)&gt;0),G28&gt;0,H28&gt;0),M28,IF(AND(OR(SUM(Uebersicht!$B$36:$B$40)&gt;0,SUM($W$3:$W$7)&gt;0),G28="",H28=""),IF(P28=0,"",P28),M28)))</f>
        <v/>
      </c>
      <c r="J28" s="220" t="str">
        <f t="shared" si="8"/>
        <v/>
      </c>
      <c r="K28" s="215"/>
      <c r="L28" s="192" t="str">
        <f t="shared" si="12"/>
        <v/>
      </c>
      <c r="M28" s="130" t="str">
        <f t="shared" si="9"/>
        <v/>
      </c>
      <c r="N28" s="131">
        <f t="shared" si="15"/>
        <v>0</v>
      </c>
      <c r="O28" s="132" t="str">
        <f t="shared" si="16"/>
        <v/>
      </c>
      <c r="P28" s="133">
        <f t="shared" si="10"/>
        <v>0</v>
      </c>
      <c r="Q28" s="133">
        <f>Q27-(IF(F28=1,0,IF(AND(F28=3,$L$8="",K28="Urlaub"),$K$7/5,IF(AND(F28=3,$L$8=15,A28&lt;15,K28="Urlaub"),$K$7/5,IF(AND(F28=3,$L$8=15,A28&gt;14,K28="Urlaub"),$K$8/5,IF(AND(K28="Urlaub",F28=4,$L$8=""),SUMIFS($X$3:$X$7,$V$3:$V$7,D28),IF(AND(K28="Urlaub",F28=4,$L$8=15,A28&gt;14),SUMIFS($X$12:$X$16,$V$12:$V$16,D28),IF(AND(K28="Urlaub",F28=4,$L$8=15,A28&lt;15),SUMIFS($X$3:$X$7,$V$3:$V$7,D28),0)))))))*60)</f>
        <v>0</v>
      </c>
      <c r="R28" s="133">
        <f t="shared" si="11"/>
        <v>0</v>
      </c>
      <c r="S28" s="245"/>
      <c r="T28" s="236" t="str">
        <f t="shared" si="14"/>
        <v/>
      </c>
      <c r="U28" s="40"/>
      <c r="V28" s="40"/>
      <c r="W28" s="40"/>
      <c r="X28" s="89"/>
      <c r="Y28" s="264"/>
    </row>
    <row r="29" spans="1:25" x14ac:dyDescent="0.2">
      <c r="A29" s="199">
        <v>19</v>
      </c>
      <c r="B29" s="98">
        <f t="shared" si="5"/>
        <v>8</v>
      </c>
      <c r="C29" s="98">
        <f t="shared" si="6"/>
        <v>2017</v>
      </c>
      <c r="D29" s="200" t="str">
        <f t="shared" si="7"/>
        <v>Samstag</v>
      </c>
      <c r="E29" s="201" t="str">
        <f>IF(ISNA(INDEX(X!$W$7:$W$20,MATCH(DATE($G$7,$E$7,A29),X!$AC$7:$AC$20,0))),"X",1)</f>
        <v>X</v>
      </c>
      <c r="F29" s="202">
        <f t="shared" si="17"/>
        <v>2</v>
      </c>
      <c r="G29" s="103"/>
      <c r="H29" s="211"/>
      <c r="I29" s="219" t="str">
        <f>IF($K$7=0,"",IF(AND(OR(SUM(Uebersicht!$B$36:$B$40)&gt;0,SUM($W$3:$W$7)&gt;0),G29&gt;0,H29&gt;0),M29,IF(AND(OR(SUM(Uebersicht!$B$36:$B$40)&gt;0,SUM($W$3:$W$7)&gt;0),G29="",H29=""),IF(P29=0,"",P29),M29)))</f>
        <v/>
      </c>
      <c r="J29" s="220" t="str">
        <f t="shared" si="8"/>
        <v/>
      </c>
      <c r="K29" s="215"/>
      <c r="L29" s="192" t="str">
        <f t="shared" si="12"/>
        <v/>
      </c>
      <c r="M29" s="130" t="str">
        <f t="shared" si="9"/>
        <v/>
      </c>
      <c r="N29" s="131">
        <f t="shared" si="15"/>
        <v>0</v>
      </c>
      <c r="O29" s="132" t="str">
        <f t="shared" si="16"/>
        <v/>
      </c>
      <c r="P29" s="133">
        <f t="shared" si="10"/>
        <v>0</v>
      </c>
      <c r="Q29" s="133">
        <f t="shared" ref="Q29:Q41" si="18">Q28-(IF(F29=1,0,IF(AND(F29=3,$L$8="",K29="Urlaub"),$K$7/5,IF(AND(F29=3,$L$8=15,A29&lt;15,K29="Urlaub"),$K$7/5,IF(AND(F29=3,$L$8=15,A29&gt;14,K29="Urlaub"),$K$8/5,IF(AND(K29="Urlaub",F29=4,$L$8=""),SUMIFS($X$3:$X$7,$V$3:$V$7,D29),IF(AND(K29="Urlaub",F29=4,$L$8=15,A29&gt;14),SUMIFS($X$12:$X$16,$V$12:$V$16,D29),IF(AND(K29="Urlaub",F29=4,$L$8=15,A29&lt;15),SUMIFS($X$3:$X$7,$V$3:$V$7,D29),0)))))))*60)</f>
        <v>0</v>
      </c>
      <c r="R29" s="133">
        <f t="shared" si="11"/>
        <v>0</v>
      </c>
      <c r="S29" s="245"/>
      <c r="T29" s="236" t="str">
        <f t="shared" si="14"/>
        <v/>
      </c>
      <c r="U29" s="40"/>
      <c r="V29" s="40"/>
      <c r="W29" s="40"/>
      <c r="X29" s="89"/>
      <c r="Y29" s="264"/>
    </row>
    <row r="30" spans="1:25" x14ac:dyDescent="0.2">
      <c r="A30" s="199">
        <v>20</v>
      </c>
      <c r="B30" s="98">
        <f t="shared" si="5"/>
        <v>8</v>
      </c>
      <c r="C30" s="98">
        <f t="shared" si="6"/>
        <v>2017</v>
      </c>
      <c r="D30" s="200" t="str">
        <f t="shared" si="7"/>
        <v>Sonntag</v>
      </c>
      <c r="E30" s="201" t="str">
        <f>IF(ISNA(INDEX(X!$W$7:$W$20,MATCH(DATE($G$7,$E$7,A30),X!$AC$7:$AC$20,0))),"X",1)</f>
        <v>X</v>
      </c>
      <c r="F30" s="202">
        <f t="shared" si="17"/>
        <v>2</v>
      </c>
      <c r="G30" s="103"/>
      <c r="H30" s="211"/>
      <c r="I30" s="219" t="str">
        <f>IF($K$7=0,"",IF(AND(OR(SUM(Uebersicht!$B$36:$B$40)&gt;0,SUM($W$3:$W$7)&gt;0),G30&gt;0,H30&gt;0),M30,IF(AND(OR(SUM(Uebersicht!$B$36:$B$40)&gt;0,SUM($W$3:$W$7)&gt;0),G30="",H30=""),IF(P30=0,"",P30),M30)))</f>
        <v/>
      </c>
      <c r="J30" s="220" t="str">
        <f t="shared" si="8"/>
        <v/>
      </c>
      <c r="K30" s="215"/>
      <c r="L30" s="192" t="str">
        <f t="shared" si="12"/>
        <v/>
      </c>
      <c r="M30" s="130" t="str">
        <f t="shared" si="9"/>
        <v/>
      </c>
      <c r="N30" s="131">
        <f t="shared" si="15"/>
        <v>0</v>
      </c>
      <c r="O30" s="132" t="str">
        <f t="shared" si="16"/>
        <v/>
      </c>
      <c r="P30" s="133">
        <f t="shared" si="10"/>
        <v>0</v>
      </c>
      <c r="Q30" s="133">
        <f t="shared" si="18"/>
        <v>0</v>
      </c>
      <c r="R30" s="133">
        <f t="shared" si="11"/>
        <v>0</v>
      </c>
      <c r="S30" s="245"/>
      <c r="T30" s="236" t="str">
        <f t="shared" si="14"/>
        <v/>
      </c>
      <c r="U30" s="40"/>
      <c r="V30" s="40"/>
      <c r="W30" s="40"/>
      <c r="X30" s="89"/>
      <c r="Y30" s="264"/>
    </row>
    <row r="31" spans="1:25" x14ac:dyDescent="0.2">
      <c r="A31" s="199">
        <v>21</v>
      </c>
      <c r="B31" s="98">
        <f t="shared" si="5"/>
        <v>8</v>
      </c>
      <c r="C31" s="98">
        <f t="shared" si="6"/>
        <v>2017</v>
      </c>
      <c r="D31" s="200" t="str">
        <f t="shared" si="7"/>
        <v>Montag</v>
      </c>
      <c r="E31" s="201" t="str">
        <f>IF(ISNA(INDEX(X!$W$7:$W$20,MATCH(DATE($G$7,$E$7,A31),X!$AC$7:$AC$20,0))),"X",1)</f>
        <v>X</v>
      </c>
      <c r="F31" s="202">
        <f t="shared" si="17"/>
        <v>1</v>
      </c>
      <c r="G31" s="103"/>
      <c r="H31" s="211"/>
      <c r="I31" s="219" t="str">
        <f>IF($K$7=0,"",IF(AND(OR(SUM(Uebersicht!$B$36:$B$40)&gt;0,SUM($W$3:$W$7)&gt;0),G31&gt;0,H31&gt;0),M31,IF(AND(OR(SUM(Uebersicht!$B$36:$B$40)&gt;0,SUM($W$3:$W$7)&gt;0),G31="",H31=""),IF(P31=0,"",P31),M31)))</f>
        <v/>
      </c>
      <c r="J31" s="220" t="str">
        <f t="shared" si="8"/>
        <v/>
      </c>
      <c r="K31" s="215"/>
      <c r="L31" s="192" t="str">
        <f t="shared" si="12"/>
        <v/>
      </c>
      <c r="M31" s="130" t="str">
        <f t="shared" si="9"/>
        <v/>
      </c>
      <c r="N31" s="131">
        <f t="shared" si="15"/>
        <v>0</v>
      </c>
      <c r="O31" s="132" t="str">
        <f t="shared" si="16"/>
        <v/>
      </c>
      <c r="P31" s="133">
        <f t="shared" si="10"/>
        <v>0</v>
      </c>
      <c r="Q31" s="133">
        <f t="shared" si="18"/>
        <v>0</v>
      </c>
      <c r="R31" s="133">
        <f t="shared" si="11"/>
        <v>0</v>
      </c>
      <c r="S31" s="245"/>
      <c r="T31" s="236" t="str">
        <f t="shared" si="14"/>
        <v/>
      </c>
      <c r="U31" s="40"/>
      <c r="V31" s="40"/>
      <c r="W31" s="40"/>
      <c r="X31" s="89"/>
      <c r="Y31" s="264"/>
    </row>
    <row r="32" spans="1:25" x14ac:dyDescent="0.2">
      <c r="A32" s="199">
        <v>22</v>
      </c>
      <c r="B32" s="98">
        <f t="shared" si="5"/>
        <v>8</v>
      </c>
      <c r="C32" s="98">
        <f t="shared" si="6"/>
        <v>2017</v>
      </c>
      <c r="D32" s="200" t="str">
        <f t="shared" si="7"/>
        <v>Dienstag</v>
      </c>
      <c r="E32" s="201" t="str">
        <f>IF(ISNA(INDEX(X!$W$7:$W$20,MATCH(DATE($G$7,$E$7,A32),X!$AC$7:$AC$20,0))),"X",1)</f>
        <v>X</v>
      </c>
      <c r="F32" s="202">
        <f t="shared" si="17"/>
        <v>1</v>
      </c>
      <c r="G32" s="103"/>
      <c r="H32" s="211"/>
      <c r="I32" s="219" t="str">
        <f>IF($K$7=0,"",IF(AND(OR(SUM(Uebersicht!$B$36:$B$40)&gt;0,SUM($W$3:$W$7)&gt;0),G32&gt;0,H32&gt;0),M32,IF(AND(OR(SUM(Uebersicht!$B$36:$B$40)&gt;0,SUM($W$3:$W$7)&gt;0),G32="",H32=""),IF(P32=0,"",P32),M32)))</f>
        <v/>
      </c>
      <c r="J32" s="220" t="str">
        <f t="shared" si="8"/>
        <v/>
      </c>
      <c r="K32" s="215"/>
      <c r="L32" s="192" t="str">
        <f t="shared" si="12"/>
        <v/>
      </c>
      <c r="M32" s="130" t="str">
        <f t="shared" si="9"/>
        <v/>
      </c>
      <c r="N32" s="131">
        <f t="shared" si="15"/>
        <v>0</v>
      </c>
      <c r="O32" s="132" t="str">
        <f t="shared" si="16"/>
        <v/>
      </c>
      <c r="P32" s="133">
        <f t="shared" si="10"/>
        <v>0</v>
      </c>
      <c r="Q32" s="133">
        <f t="shared" si="18"/>
        <v>0</v>
      </c>
      <c r="R32" s="133">
        <f t="shared" si="11"/>
        <v>0</v>
      </c>
      <c r="S32" s="245"/>
      <c r="T32" s="236" t="str">
        <f t="shared" si="14"/>
        <v/>
      </c>
      <c r="U32" s="40"/>
      <c r="V32" s="40"/>
      <c r="W32" s="40"/>
      <c r="X32" s="89"/>
      <c r="Y32" s="264"/>
    </row>
    <row r="33" spans="1:25" x14ac:dyDescent="0.2">
      <c r="A33" s="199">
        <v>23</v>
      </c>
      <c r="B33" s="98">
        <f t="shared" si="5"/>
        <v>8</v>
      </c>
      <c r="C33" s="98">
        <f t="shared" si="6"/>
        <v>2017</v>
      </c>
      <c r="D33" s="200" t="str">
        <f t="shared" si="7"/>
        <v>Mittwoch</v>
      </c>
      <c r="E33" s="201" t="str">
        <f>IF(ISNA(INDEX(X!$W$7:$W$20,MATCH(DATE($G$7,$E$7,A33),X!$AC$7:$AC$20,0))),"X",1)</f>
        <v>X</v>
      </c>
      <c r="F33" s="202">
        <f t="shared" si="17"/>
        <v>1</v>
      </c>
      <c r="G33" s="103"/>
      <c r="H33" s="211"/>
      <c r="I33" s="219" t="str">
        <f>IF($K$7=0,"",IF(AND(OR(SUM(Uebersicht!$B$36:$B$40)&gt;0,SUM($W$3:$W$7)&gt;0),G33&gt;0,H33&gt;0),M33,IF(AND(OR(SUM(Uebersicht!$B$36:$B$40)&gt;0,SUM($W$3:$W$7)&gt;0),G33="",H33=""),IF(P33=0,"",P33),M33)))</f>
        <v/>
      </c>
      <c r="J33" s="220" t="str">
        <f t="shared" si="8"/>
        <v/>
      </c>
      <c r="K33" s="215"/>
      <c r="L33" s="192" t="str">
        <f t="shared" si="12"/>
        <v/>
      </c>
      <c r="M33" s="130" t="str">
        <f t="shared" si="9"/>
        <v/>
      </c>
      <c r="N33" s="131">
        <f t="shared" si="15"/>
        <v>0</v>
      </c>
      <c r="O33" s="132" t="str">
        <f t="shared" si="16"/>
        <v/>
      </c>
      <c r="P33" s="133">
        <f t="shared" si="10"/>
        <v>0</v>
      </c>
      <c r="Q33" s="133">
        <f t="shared" si="18"/>
        <v>0</v>
      </c>
      <c r="R33" s="133">
        <f t="shared" si="11"/>
        <v>0</v>
      </c>
      <c r="S33" s="245"/>
      <c r="T33" s="236" t="str">
        <f t="shared" si="14"/>
        <v/>
      </c>
      <c r="U33" s="40"/>
      <c r="V33" s="40"/>
      <c r="W33" s="40"/>
      <c r="X33" s="89"/>
      <c r="Y33" s="264"/>
    </row>
    <row r="34" spans="1:25" x14ac:dyDescent="0.2">
      <c r="A34" s="199">
        <v>24</v>
      </c>
      <c r="B34" s="98">
        <f t="shared" si="5"/>
        <v>8</v>
      </c>
      <c r="C34" s="98">
        <f t="shared" si="6"/>
        <v>2017</v>
      </c>
      <c r="D34" s="200" t="str">
        <f t="shared" si="7"/>
        <v>Donnerstag</v>
      </c>
      <c r="E34" s="201" t="str">
        <f>IF(ISNA(INDEX(X!$W$7:$W$20,MATCH(DATE($G$7,$E$7,A34),X!$AC$7:$AC$20,0))),"X",1)</f>
        <v>X</v>
      </c>
      <c r="F34" s="202">
        <f t="shared" si="17"/>
        <v>1</v>
      </c>
      <c r="G34" s="104"/>
      <c r="H34" s="212"/>
      <c r="I34" s="219" t="str">
        <f>IF($K$7=0,"",IF(AND(OR(SUM(Uebersicht!$B$36:$B$40)&gt;0,SUM($W$3:$W$7)&gt;0),G34&gt;0,H34&gt;0),M34,IF(AND(OR(SUM(Uebersicht!$B$36:$B$40)&gt;0,SUM($W$3:$W$7)&gt;0),G34="",H34=""),IF(P34=0,"",P34),M34)))</f>
        <v/>
      </c>
      <c r="J34" s="220" t="str">
        <f t="shared" si="8"/>
        <v/>
      </c>
      <c r="K34" s="215"/>
      <c r="L34" s="192" t="str">
        <f t="shared" si="12"/>
        <v/>
      </c>
      <c r="M34" s="130" t="str">
        <f t="shared" si="9"/>
        <v/>
      </c>
      <c r="N34" s="131">
        <f t="shared" si="15"/>
        <v>0</v>
      </c>
      <c r="O34" s="132" t="str">
        <f t="shared" si="16"/>
        <v/>
      </c>
      <c r="P34" s="133">
        <f t="shared" si="10"/>
        <v>0</v>
      </c>
      <c r="Q34" s="133">
        <f t="shared" si="18"/>
        <v>0</v>
      </c>
      <c r="R34" s="133">
        <f t="shared" si="11"/>
        <v>0</v>
      </c>
      <c r="S34" s="245"/>
      <c r="T34" s="236" t="str">
        <f t="shared" si="14"/>
        <v/>
      </c>
      <c r="U34" s="40"/>
      <c r="V34" s="40"/>
      <c r="W34" s="40"/>
      <c r="X34" s="89"/>
      <c r="Y34" s="264"/>
    </row>
    <row r="35" spans="1:25" x14ac:dyDescent="0.2">
      <c r="A35" s="199">
        <v>25</v>
      </c>
      <c r="B35" s="98">
        <f t="shared" si="5"/>
        <v>8</v>
      </c>
      <c r="C35" s="98">
        <f t="shared" si="6"/>
        <v>2017</v>
      </c>
      <c r="D35" s="200" t="str">
        <f t="shared" si="7"/>
        <v>Freitag</v>
      </c>
      <c r="E35" s="201" t="str">
        <f>IF(ISNA(INDEX(X!$W$7:$W$20,MATCH(DATE($G$7,$E$7,A35),X!$AC$7:$AC$20,0))),"X",1)</f>
        <v>X</v>
      </c>
      <c r="F35" s="202">
        <f t="shared" si="17"/>
        <v>1</v>
      </c>
      <c r="G35" s="104"/>
      <c r="H35" s="212"/>
      <c r="I35" s="219" t="str">
        <f>IF($K$7=0,"",IF(AND(OR(SUM(Uebersicht!$B$36:$B$40)&gt;0,SUM($W$3:$W$7)&gt;0),G35&gt;0,H35&gt;0),M35,IF(AND(OR(SUM(Uebersicht!$B$36:$B$40)&gt;0,SUM($W$3:$W$7)&gt;0),G35="",H35=""),IF(P35=0,"",P35),M35)))</f>
        <v/>
      </c>
      <c r="J35" s="220" t="str">
        <f t="shared" si="8"/>
        <v/>
      </c>
      <c r="K35" s="215"/>
      <c r="L35" s="192" t="str">
        <f t="shared" si="12"/>
        <v/>
      </c>
      <c r="M35" s="130" t="str">
        <f t="shared" si="9"/>
        <v/>
      </c>
      <c r="N35" s="131">
        <f t="shared" si="15"/>
        <v>0</v>
      </c>
      <c r="O35" s="132" t="str">
        <f t="shared" si="16"/>
        <v/>
      </c>
      <c r="P35" s="133">
        <f t="shared" si="10"/>
        <v>0</v>
      </c>
      <c r="Q35" s="133">
        <f t="shared" si="18"/>
        <v>0</v>
      </c>
      <c r="R35" s="133">
        <f t="shared" si="11"/>
        <v>0</v>
      </c>
      <c r="S35" s="245"/>
      <c r="T35" s="236" t="str">
        <f t="shared" si="14"/>
        <v/>
      </c>
      <c r="U35" s="40"/>
      <c r="V35" s="40"/>
      <c r="W35" s="40"/>
      <c r="X35" s="89"/>
      <c r="Y35" s="264"/>
    </row>
    <row r="36" spans="1:25" x14ac:dyDescent="0.2">
      <c r="A36" s="199">
        <v>26</v>
      </c>
      <c r="B36" s="98">
        <f t="shared" si="5"/>
        <v>8</v>
      </c>
      <c r="C36" s="98">
        <f t="shared" si="6"/>
        <v>2017</v>
      </c>
      <c r="D36" s="200" t="str">
        <f t="shared" si="7"/>
        <v>Samstag</v>
      </c>
      <c r="E36" s="201" t="str">
        <f>IF(ISNA(INDEX(X!$W$7:$W$20,MATCH(DATE($G$7,$E$7,A36),X!$AC$7:$AC$20,0))),"X",1)</f>
        <v>X</v>
      </c>
      <c r="F36" s="202">
        <f t="shared" si="17"/>
        <v>2</v>
      </c>
      <c r="G36" s="103"/>
      <c r="H36" s="211"/>
      <c r="I36" s="219" t="str">
        <f>IF($K$7=0,"",IF(AND(OR(SUM(Uebersicht!$B$36:$B$40)&gt;0,SUM($W$3:$W$7)&gt;0),G36&gt;0,H36&gt;0),M36,IF(AND(OR(SUM(Uebersicht!$B$36:$B$40)&gt;0,SUM($W$3:$W$7)&gt;0),G36="",H36=""),IF(P36=0,"",P36),M36)))</f>
        <v/>
      </c>
      <c r="J36" s="220" t="str">
        <f t="shared" si="8"/>
        <v/>
      </c>
      <c r="K36" s="215"/>
      <c r="L36" s="192" t="str">
        <f t="shared" si="12"/>
        <v/>
      </c>
      <c r="M36" s="130" t="str">
        <f t="shared" si="9"/>
        <v/>
      </c>
      <c r="N36" s="131">
        <f t="shared" si="15"/>
        <v>0</v>
      </c>
      <c r="O36" s="132" t="str">
        <f t="shared" si="16"/>
        <v/>
      </c>
      <c r="P36" s="133">
        <f t="shared" si="10"/>
        <v>0</v>
      </c>
      <c r="Q36" s="133">
        <f t="shared" si="18"/>
        <v>0</v>
      </c>
      <c r="R36" s="133">
        <f t="shared" si="11"/>
        <v>0</v>
      </c>
      <c r="S36" s="245"/>
      <c r="T36" s="236" t="str">
        <f>IF(S36="","",(L36-(S36*60))/60)</f>
        <v/>
      </c>
      <c r="U36" s="40"/>
      <c r="V36" s="40"/>
      <c r="W36" s="40"/>
      <c r="X36" s="89"/>
      <c r="Y36" s="264"/>
    </row>
    <row r="37" spans="1:25" x14ac:dyDescent="0.2">
      <c r="A37" s="199">
        <v>27</v>
      </c>
      <c r="B37" s="98">
        <f t="shared" si="5"/>
        <v>8</v>
      </c>
      <c r="C37" s="98">
        <f t="shared" si="6"/>
        <v>2017</v>
      </c>
      <c r="D37" s="200" t="str">
        <f t="shared" si="7"/>
        <v>Sonntag</v>
      </c>
      <c r="E37" s="201" t="str">
        <f>IF(ISNA(INDEX(X!$W$7:$W$20,MATCH(DATE($G$7,$E$7,A37),X!$AC$7:$AC$20,0))),"X",1)</f>
        <v>X</v>
      </c>
      <c r="F37" s="202">
        <f t="shared" si="17"/>
        <v>2</v>
      </c>
      <c r="G37" s="103"/>
      <c r="H37" s="211"/>
      <c r="I37" s="219" t="str">
        <f>IF($K$7=0,"",IF(AND(OR(SUM(Uebersicht!$B$36:$B$40)&gt;0,SUM($W$3:$W$7)&gt;0),G37&gt;0,H37&gt;0),M37,IF(AND(OR(SUM(Uebersicht!$B$36:$B$40)&gt;0,SUM($W$3:$W$7)&gt;0),G37="",H37=""),IF(P37=0,"",P37),M37)))</f>
        <v/>
      </c>
      <c r="J37" s="220" t="str">
        <f t="shared" si="8"/>
        <v/>
      </c>
      <c r="K37" s="215"/>
      <c r="L37" s="192" t="str">
        <f t="shared" si="12"/>
        <v/>
      </c>
      <c r="M37" s="130" t="str">
        <f t="shared" si="9"/>
        <v/>
      </c>
      <c r="N37" s="131">
        <f>((HOUR(H37)*60+MINUTE(H37))/24)-((HOUR(G37)*60+MINUTE(G37))/24)</f>
        <v>0</v>
      </c>
      <c r="O37" s="132" t="str">
        <f t="shared" si="16"/>
        <v/>
      </c>
      <c r="P37" s="133">
        <f t="shared" si="10"/>
        <v>0</v>
      </c>
      <c r="Q37" s="133">
        <f t="shared" si="18"/>
        <v>0</v>
      </c>
      <c r="R37" s="133">
        <f t="shared" si="11"/>
        <v>0</v>
      </c>
      <c r="S37" s="245"/>
      <c r="T37" s="236" t="str">
        <f t="shared" si="14"/>
        <v/>
      </c>
      <c r="U37" s="40"/>
      <c r="V37" s="40"/>
      <c r="W37" s="40"/>
      <c r="X37" s="89"/>
      <c r="Y37" s="264"/>
    </row>
    <row r="38" spans="1:25" x14ac:dyDescent="0.2">
      <c r="A38" s="199">
        <v>28</v>
      </c>
      <c r="B38" s="98">
        <f t="shared" si="5"/>
        <v>8</v>
      </c>
      <c r="C38" s="98">
        <f t="shared" si="6"/>
        <v>2017</v>
      </c>
      <c r="D38" s="200" t="str">
        <f t="shared" si="7"/>
        <v>Montag</v>
      </c>
      <c r="E38" s="201" t="str">
        <f>IF(ISNA(INDEX(X!$W$7:$W$20,MATCH(DATE($G$7,$E$7,A38),X!$AC$7:$AC$20,0))),"X",1)</f>
        <v>X</v>
      </c>
      <c r="F38" s="202">
        <f t="shared" si="17"/>
        <v>1</v>
      </c>
      <c r="G38" s="103"/>
      <c r="H38" s="211"/>
      <c r="I38" s="219" t="str">
        <f>IF($K$7=0,"",IF(AND(OR(SUM(Uebersicht!$B$36:$B$40)&gt;0,SUM($W$3:$W$7)&gt;0),G38&gt;0,H38&gt;0),M38,IF(AND(OR(SUM(Uebersicht!$B$36:$B$40)&gt;0,SUM($W$3:$W$7)&gt;0),G38="",H38=""),IF(P38=0,"",P38),M38)))</f>
        <v/>
      </c>
      <c r="J38" s="220" t="str">
        <f t="shared" si="8"/>
        <v/>
      </c>
      <c r="K38" s="215"/>
      <c r="L38" s="192" t="str">
        <f t="shared" si="12"/>
        <v/>
      </c>
      <c r="M38" s="130" t="str">
        <f t="shared" si="9"/>
        <v/>
      </c>
      <c r="N38" s="131">
        <f>((HOUR(H38)*60+MINUTE(H38))/24)-((HOUR(G38)*60+MINUTE(G38))/24)</f>
        <v>0</v>
      </c>
      <c r="O38" s="132" t="str">
        <f>IF(N38=0,IF(M38="","",IF((M38/60)&lt;0,TEXT(-((M38/60)/24),"-[h]:mm"),IF((M38/60)&gt;24,TEXT((((M38/60)-24)/24)+(24/24),"[hh]:mm"),M37/60))),IF(N38&gt;15,(N38-(30/24))/60,N38/60))</f>
        <v/>
      </c>
      <c r="P38" s="133">
        <f t="shared" si="10"/>
        <v>0</v>
      </c>
      <c r="Q38" s="133">
        <f t="shared" si="18"/>
        <v>0</v>
      </c>
      <c r="R38" s="133">
        <f t="shared" si="11"/>
        <v>0</v>
      </c>
      <c r="S38" s="245"/>
      <c r="T38" s="236" t="str">
        <f t="shared" si="14"/>
        <v/>
      </c>
      <c r="U38" s="40"/>
      <c r="V38" s="40"/>
      <c r="W38" s="40"/>
      <c r="X38" s="89"/>
      <c r="Y38" s="264"/>
    </row>
    <row r="39" spans="1:25" x14ac:dyDescent="0.2">
      <c r="A39" s="199">
        <v>29</v>
      </c>
      <c r="B39" s="98">
        <f t="shared" si="5"/>
        <v>8</v>
      </c>
      <c r="C39" s="98">
        <f t="shared" si="6"/>
        <v>2017</v>
      </c>
      <c r="D39" s="200" t="str">
        <f t="shared" si="7"/>
        <v>Dienstag</v>
      </c>
      <c r="E39" s="201" t="str">
        <f>IF(ISNA(INDEX(X!$W$7:$W$20,MATCH(DATE($G$7,$E$7,A39),X!$AC$7:$AC$20,0))),"X",1)</f>
        <v>X</v>
      </c>
      <c r="F39" s="202">
        <f t="shared" si="17"/>
        <v>1</v>
      </c>
      <c r="G39" s="103"/>
      <c r="H39" s="211"/>
      <c r="I39" s="219" t="str">
        <f>IF($K$7=0,"",IF(AND(OR(SUM(Uebersicht!$B$36:$B$40)&gt;0,SUM($W$3:$W$7)&gt;0),G39&gt;0,H39&gt;0),M39,IF(AND(OR(SUM(Uebersicht!$B$36:$B$40)&gt;0,SUM($W$3:$W$7)&gt;0),G39="",H39=""),IF(P39=0,"",P39),M39)))</f>
        <v/>
      </c>
      <c r="J39" s="220" t="str">
        <f t="shared" si="8"/>
        <v/>
      </c>
      <c r="K39" s="215"/>
      <c r="L39" s="192" t="str">
        <f t="shared" si="12"/>
        <v/>
      </c>
      <c r="M39" s="130" t="str">
        <f t="shared" si="9"/>
        <v/>
      </c>
      <c r="N39" s="131">
        <f t="shared" si="15"/>
        <v>0</v>
      </c>
      <c r="O39" s="132" t="str">
        <f t="shared" si="16"/>
        <v/>
      </c>
      <c r="P39" s="133">
        <f t="shared" si="10"/>
        <v>0</v>
      </c>
      <c r="Q39" s="133">
        <f t="shared" si="18"/>
        <v>0</v>
      </c>
      <c r="R39" s="133">
        <f t="shared" si="11"/>
        <v>0</v>
      </c>
      <c r="S39" s="245"/>
      <c r="T39" s="236" t="str">
        <f t="shared" si="14"/>
        <v/>
      </c>
      <c r="U39" s="81">
        <f>IF(DATE(G7,E7,A38)&lt;&gt;EOMONTH(DATE(G7,E7,A38),0),DATE(G7,E7,A38)+1,IF(YEAR(G7)/400=INT(YEAR(G7)/100),DATE(G7,E7,A38)+1,""))</f>
        <v>42976</v>
      </c>
      <c r="V39" s="40"/>
      <c r="W39" s="40"/>
      <c r="X39" s="89"/>
      <c r="Y39" s="264"/>
    </row>
    <row r="40" spans="1:25" x14ac:dyDescent="0.2">
      <c r="A40" s="199">
        <v>30</v>
      </c>
      <c r="B40" s="98">
        <f t="shared" si="5"/>
        <v>8</v>
      </c>
      <c r="C40" s="98">
        <f t="shared" si="6"/>
        <v>2017</v>
      </c>
      <c r="D40" s="200" t="str">
        <f t="shared" si="7"/>
        <v>Mittwoch</v>
      </c>
      <c r="E40" s="201" t="str">
        <f>IF(ISNA(INDEX(X!$W$7:$W$20,MATCH(DATE($G$7,$E$7,A40),X!$AC$7:$AC$20,0))),"X",1)</f>
        <v>X</v>
      </c>
      <c r="F40" s="202">
        <f t="shared" si="17"/>
        <v>1</v>
      </c>
      <c r="G40" s="103"/>
      <c r="H40" s="211"/>
      <c r="I40" s="219" t="str">
        <f>IF($K$7=0,"",IF(AND(OR(SUM(Uebersicht!$B$36:$B$40)&gt;0,SUM($W$3:$W$7)&gt;0),G40&gt;0,H40&gt;0),M40,IF(AND(OR(SUM(Uebersicht!$B$36:$B$40)&gt;0,SUM($W$3:$W$7)&gt;0),G40="",H40=""),IF(P40=0,"",P40),M40)))</f>
        <v/>
      </c>
      <c r="J40" s="220" t="str">
        <f t="shared" si="8"/>
        <v/>
      </c>
      <c r="K40" s="215"/>
      <c r="L40" s="192" t="str">
        <f t="shared" si="12"/>
        <v/>
      </c>
      <c r="M40" s="130" t="str">
        <f t="shared" si="9"/>
        <v/>
      </c>
      <c r="N40" s="131">
        <f t="shared" si="15"/>
        <v>0</v>
      </c>
      <c r="O40" s="132" t="str">
        <f>IF(N40=0,IF(M40="","",IF((M40/60)&lt;0,TEXT(-((M40/60)/24),"-[h]:mm"),IF((M40/60)&gt;24,TEXT((((M40/60)-24)/24)+(24/24),"[hh]:mm"),M39/60))),IF(N40&gt;15,(N40-(30/24))/60,N40/60))</f>
        <v/>
      </c>
      <c r="P40" s="133">
        <f t="shared" si="10"/>
        <v>0</v>
      </c>
      <c r="Q40" s="133">
        <f t="shared" si="18"/>
        <v>0</v>
      </c>
      <c r="R40" s="133">
        <f t="shared" si="11"/>
        <v>0</v>
      </c>
      <c r="S40" s="245"/>
      <c r="T40" s="236" t="str">
        <f t="shared" si="14"/>
        <v/>
      </c>
      <c r="U40" s="40"/>
      <c r="V40" s="40"/>
      <c r="W40" s="40"/>
      <c r="X40" s="89"/>
    </row>
    <row r="41" spans="1:25" x14ac:dyDescent="0.2">
      <c r="A41" s="203">
        <f>IF(OR(B41=1,B41=3,B41=5,B41=7,B41=8,B41=10,B41=12),31,"")</f>
        <v>31</v>
      </c>
      <c r="B41" s="204">
        <f t="shared" si="5"/>
        <v>8</v>
      </c>
      <c r="C41" s="204">
        <f t="shared" si="6"/>
        <v>2017</v>
      </c>
      <c r="D41" s="205" t="str">
        <f>IF(A41="","",TEXT(DATE($G$7,$E$7,A41),"TTTT"))</f>
        <v>Donnerstag</v>
      </c>
      <c r="E41" s="206" t="str">
        <f>IF(ISNA(INDEX(X!$W$7:$W$20,MATCH(DATE($G$7,$E$7,A41),X!$AC$7:$AC$20,0))),"X",1)</f>
        <v>X</v>
      </c>
      <c r="F41" s="207">
        <f t="shared" si="17"/>
        <v>1</v>
      </c>
      <c r="G41" s="208"/>
      <c r="H41" s="213"/>
      <c r="I41" s="221" t="str">
        <f>IF($K$7=0,"",IF(AND(OR(SUM(Uebersicht!$B$36:$B$40)&gt;0,SUM($W$3:$W$7)&gt;0),G41&gt;0,H41&gt;0),M41,IF(AND(OR(SUM(Uebersicht!$B$36:$B$40)&gt;0,SUM($W$3:$W$7)&gt;0),G41="",H41=""),IF(P41=0,"",P41),M41)))</f>
        <v/>
      </c>
      <c r="J41" s="222" t="str">
        <f t="shared" si="8"/>
        <v/>
      </c>
      <c r="K41" s="216"/>
      <c r="L41" s="192" t="str">
        <f t="shared" si="12"/>
        <v/>
      </c>
      <c r="M41" s="134" t="str">
        <f t="shared" si="9"/>
        <v/>
      </c>
      <c r="N41" s="135">
        <f t="shared" si="15"/>
        <v>0</v>
      </c>
      <c r="O41" s="136" t="str">
        <f t="shared" si="16"/>
        <v/>
      </c>
      <c r="P41" s="137">
        <f t="shared" si="10"/>
        <v>0</v>
      </c>
      <c r="Q41" s="137">
        <f t="shared" si="18"/>
        <v>0</v>
      </c>
      <c r="R41" s="137">
        <f t="shared" si="11"/>
        <v>0</v>
      </c>
      <c r="S41" s="246"/>
      <c r="T41" s="237" t="str">
        <f t="shared" si="14"/>
        <v/>
      </c>
      <c r="U41" s="40"/>
      <c r="V41" s="40"/>
      <c r="W41" s="40"/>
      <c r="X41" s="89"/>
    </row>
    <row r="42" spans="1:2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>
        <f>SUM(L11:L41)</f>
        <v>0</v>
      </c>
      <c r="M42" s="138">
        <f>SUM(M11:M41)</f>
        <v>0</v>
      </c>
      <c r="N42" s="139"/>
      <c r="O42" s="140"/>
      <c r="P42" s="141">
        <f>IF(AND(W8="",W17=""),IF(K7=0,0,SUM(P11:P41)*-1),Q43)</f>
        <v>0</v>
      </c>
      <c r="Q42" s="141">
        <f>Q41</f>
        <v>0</v>
      </c>
      <c r="R42" s="141">
        <f>SUM(R11:R41)</f>
        <v>0</v>
      </c>
      <c r="S42" s="238"/>
      <c r="T42" s="238"/>
      <c r="U42" s="40"/>
      <c r="V42" s="40"/>
      <c r="W42" s="40"/>
      <c r="X42" s="89"/>
    </row>
    <row r="43" spans="1:25" x14ac:dyDescent="0.2">
      <c r="A43" s="40" t="s">
        <v>79</v>
      </c>
      <c r="B43" s="40"/>
      <c r="C43" s="40"/>
      <c r="D43" s="40"/>
      <c r="E43" s="40"/>
      <c r="F43" s="40"/>
      <c r="G43" s="40"/>
      <c r="H43" s="40"/>
      <c r="I43" s="112">
        <f>L42</f>
        <v>0</v>
      </c>
      <c r="J43" s="113">
        <f>IF((I43/60)&lt;0,TEXT(-((I43/60)/24),"-[hh]:mm"),IF((I43/60)&gt;24,TEXT((((I43/60)-24)/24)+(24/24),"[hh]:mm"),(I43/60)/24))</f>
        <v>0</v>
      </c>
      <c r="K43" s="40"/>
      <c r="L43" s="112">
        <f>L42-M42</f>
        <v>0</v>
      </c>
      <c r="M43" s="142">
        <f>L42/60</f>
        <v>0</v>
      </c>
      <c r="N43" s="139"/>
      <c r="O43" s="140"/>
      <c r="P43" s="141"/>
      <c r="Q43" s="141">
        <f>R43*60</f>
        <v>0</v>
      </c>
      <c r="R43" s="141">
        <f>IF(K7=0,0,SUM(IF(AND(W8="",K8=""),SUMIFS(R11:R41,F11:F41,4),IF(AND(W8&gt;0,K8=""),COUNTIFS(F11:F41,4)*(K7/5),IF(AND(W8="",K8&gt;0),SUMIFS(R11:R41,F11:F41,4),IF(AND(K8&gt;0,W8&gt;0),(14-COUNTIFS(F11:F41,2,A11:A41,"&lt;15"))*(K7/5))))),IF(AND(K8="",W17=""),0,IF(AND(K8&gt;0,W17=""),SUMIFS(R11:R41,F11:F41,5),IF(AND(K8&gt;0,W17&gt;0),(IF(A39&gt;0,A39-14,A38-14)-COUNTIFS(F11:F41,2,A11:A41,"&gt;14"))*(K8/5),0)))))</f>
        <v>0</v>
      </c>
      <c r="S43" s="238" t="str">
        <f>IF(SUM(S11:S41)=0,"",SUM(S11:S41))</f>
        <v/>
      </c>
      <c r="T43" s="238" t="str">
        <f>IF(SUM(T11:T41)=0,"",SUM(T11:T41))</f>
        <v/>
      </c>
      <c r="U43" s="40"/>
      <c r="V43" s="40"/>
      <c r="W43" s="40"/>
      <c r="X43" s="40"/>
    </row>
    <row r="44" spans="1:25" x14ac:dyDescent="0.2">
      <c r="A44" s="40" t="s">
        <v>80</v>
      </c>
      <c r="B44" s="40"/>
      <c r="C44" s="40"/>
      <c r="D44" s="40"/>
      <c r="E44" s="40"/>
      <c r="F44" s="40"/>
      <c r="G44" s="40"/>
      <c r="H44" s="40"/>
      <c r="I44" s="72">
        <f ca="1">IF(SUM(X3:X7)=0,0,SUMIFS(I11:I41,B11:B41,"&lt;="&amp;MONTH(TODAY()),A11:A41,IF(E7&lt;MONTH(TODAY()),IF(A41="","&lt;="&amp;A40,"&lt;="&amp;A41),IF(E7&gt;MONTH(TODAY()),0,IF(E7=MONTH(TODAY()),"&lt;="&amp;DAY(TODAY()),0))))+IF(OR(SUM(Uebersicht!B36:B40)&gt;0,SUM(W3:W7)&gt;0),0,IF((COUNTIF(K11:K41,"Urlaub")*(K7/5))&gt;J8,J8,COUNTIF(K11:K41,"Urlaub")*(K7/5)*60))+IF(OR(SUM(Uebersicht!B36:B40)&gt;0,SUM(W3:W7)&gt;0),0,(COUNTIF(K11:K41,"Krank")*(K7/5))*60))</f>
        <v>0</v>
      </c>
      <c r="J44" s="114">
        <f ca="1">IF(I44&lt;0,TEXT(-((I44/60)/24),"-[hh]:mm"),IF((I44/60)&gt;24,TEXT((((I44/60)-24)/24)+(24/24),"[hh]:mm"),(I44/60)/24))</f>
        <v>0</v>
      </c>
      <c r="K44" s="40"/>
      <c r="L44" s="40"/>
      <c r="M44" s="142"/>
      <c r="N44" s="139"/>
      <c r="O44" s="140"/>
      <c r="P44" s="141"/>
      <c r="Q44" s="141">
        <f>IF(Q10-Q42&gt;0,(Q10-Q42)/60,0)</f>
        <v>0</v>
      </c>
      <c r="R44" s="141"/>
      <c r="S44" s="238"/>
      <c r="T44" s="238"/>
      <c r="U44" s="40"/>
      <c r="V44" s="40"/>
      <c r="W44" s="40"/>
      <c r="X44" s="40"/>
    </row>
    <row r="45" spans="1:25" x14ac:dyDescent="0.2">
      <c r="A45" s="70" t="s">
        <v>11</v>
      </c>
      <c r="B45" s="70"/>
      <c r="C45" s="70"/>
      <c r="D45" s="70"/>
      <c r="E45" s="70"/>
      <c r="F45" s="70"/>
      <c r="G45" s="70"/>
      <c r="H45" s="70"/>
      <c r="I45" s="70">
        <f ca="1">(K4)</f>
        <v>0</v>
      </c>
      <c r="J45" s="263">
        <f ca="1">IF(I45&lt;0,TEXT(-((I45/60)/24),"-[hh]:mm"),IF((I45/60)&gt;24,TEXT((((I45/60)-24)/24)+(24/24),"[hh]:mm"),(I45/60)/24))</f>
        <v>0</v>
      </c>
      <c r="K45" s="40"/>
      <c r="L45" s="40"/>
      <c r="M45" s="40"/>
      <c r="N45" s="89"/>
      <c r="O45" s="118"/>
      <c r="P45" s="90"/>
      <c r="Q45" s="90"/>
      <c r="R45" s="90"/>
      <c r="S45" s="239"/>
      <c r="T45" s="239"/>
      <c r="U45" s="40"/>
      <c r="V45" s="40"/>
      <c r="W45" s="40"/>
      <c r="X45" s="40"/>
    </row>
    <row r="46" spans="1:25" x14ac:dyDescent="0.2">
      <c r="A46" s="95" t="s">
        <v>12</v>
      </c>
      <c r="B46" s="99"/>
      <c r="C46" s="99"/>
      <c r="D46" s="95"/>
      <c r="E46" s="95"/>
      <c r="F46" s="95"/>
      <c r="G46" s="95"/>
      <c r="H46" s="95"/>
      <c r="I46" s="96">
        <f>P42</f>
        <v>0</v>
      </c>
      <c r="J46" s="267">
        <f>IF(I46&lt;0,TEXT(-((I46/60)/24),"-[hh]:mm"),IF((I46/60)&gt;24,TEXT((((I46/60)-24)/24)+(24/24),"[hh]:mm"),(I46/60)/24))</f>
        <v>0</v>
      </c>
      <c r="K46" s="40"/>
      <c r="L46" s="40"/>
      <c r="M46" s="40"/>
      <c r="N46" s="89"/>
      <c r="O46" s="118"/>
      <c r="P46" s="90"/>
      <c r="Q46" s="90"/>
      <c r="R46" s="90"/>
      <c r="S46" s="255" t="str">
        <f>IF(SUM(IF(S7="",0,IF(AND(S7&gt;0,N8&lt;15),COUNTIFS(F11:F41,4)*S7)),IF(S8="",0,COUNTIF(F11:F41,5)*S8))&gt;0,SUM(IF(S7="",0,IF(AND(S7&gt;0,N8&lt;15),COUNTIF(F11:F41,4)*S7)),IF(S8="",0,COUNTIF(F11:F41,5)*S8)),"")</f>
        <v/>
      </c>
      <c r="T46" s="255" t="str">
        <f>IF(S46="","",(I46-(S46*60))/60)</f>
        <v/>
      </c>
      <c r="U46" s="40"/>
      <c r="V46" s="40"/>
      <c r="W46" s="40"/>
      <c r="X46" s="40"/>
    </row>
    <row r="47" spans="1:2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89"/>
      <c r="K47" s="40"/>
      <c r="L47" s="40"/>
      <c r="M47" s="40"/>
      <c r="N47" s="89"/>
      <c r="O47" s="118"/>
      <c r="P47" s="90"/>
      <c r="Q47" s="90"/>
      <c r="R47" s="90"/>
      <c r="S47" s="89"/>
      <c r="T47" s="89"/>
      <c r="U47" s="40"/>
      <c r="V47" s="40"/>
      <c r="W47" s="40"/>
      <c r="X47" s="40"/>
    </row>
    <row r="48" spans="1:25" x14ac:dyDescent="0.2">
      <c r="A48" s="91" t="s">
        <v>68</v>
      </c>
      <c r="B48" s="100"/>
      <c r="C48" s="100"/>
      <c r="D48" s="91"/>
      <c r="E48" s="91"/>
      <c r="F48" s="91"/>
      <c r="G48" s="91"/>
      <c r="H48" s="91"/>
      <c r="I48" s="190">
        <f ca="1">I43+I45-I46</f>
        <v>0</v>
      </c>
      <c r="J48" s="92">
        <f ca="1">IF((I48/60)&lt;0,TEXT(-((I48/60)/24),"-[hh]:mm"),IF((I48/60)&gt;24,TEXT((((I48/60)-24)/24)+(24/24),"[hh]:mm"),(I48/60)/24))</f>
        <v>0</v>
      </c>
      <c r="K48" s="40"/>
      <c r="L48" s="40"/>
      <c r="M48" s="40"/>
      <c r="N48" s="89"/>
      <c r="O48" s="118"/>
      <c r="P48" s="90"/>
      <c r="Q48" s="90"/>
      <c r="R48" s="90"/>
      <c r="S48" s="89" t="str">
        <f>IF(S43="","",S43-S46)</f>
        <v/>
      </c>
      <c r="T48" s="89"/>
      <c r="U48" s="40"/>
      <c r="V48" s="40"/>
      <c r="W48" s="40"/>
      <c r="X48" s="40"/>
    </row>
    <row r="49" spans="1:24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89"/>
      <c r="O49" s="118"/>
      <c r="P49" s="90"/>
      <c r="Q49" s="90"/>
      <c r="R49" s="90"/>
      <c r="S49" s="90"/>
      <c r="T49" s="90"/>
      <c r="U49" s="40"/>
      <c r="V49" s="40"/>
      <c r="W49" s="40"/>
      <c r="X49" s="89"/>
    </row>
    <row r="50" spans="1:24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89"/>
      <c r="O50" s="118"/>
      <c r="P50" s="90"/>
      <c r="Q50" s="90"/>
      <c r="R50" s="90"/>
      <c r="S50" s="90"/>
      <c r="T50" s="90"/>
      <c r="U50" s="40"/>
      <c r="V50" s="40"/>
      <c r="W50" s="40"/>
      <c r="X50" s="89"/>
    </row>
    <row r="51" spans="1:24" x14ac:dyDescent="0.2">
      <c r="A51" s="40" t="s">
        <v>13</v>
      </c>
      <c r="B51" s="40"/>
      <c r="C51" s="40"/>
      <c r="D51" s="40"/>
      <c r="E51" s="40"/>
      <c r="F51" s="40"/>
      <c r="G51" s="40"/>
      <c r="H51" s="40"/>
      <c r="I51" s="40"/>
      <c r="J51" s="40"/>
      <c r="K51" s="93"/>
      <c r="L51" s="40"/>
      <c r="M51" s="40"/>
      <c r="N51" s="89"/>
      <c r="O51" s="118"/>
      <c r="P51" s="90"/>
      <c r="Q51" s="90"/>
      <c r="R51" s="90"/>
      <c r="S51" s="90"/>
      <c r="T51" s="90"/>
      <c r="U51" s="40"/>
      <c r="V51" s="40"/>
      <c r="W51" s="40"/>
      <c r="X51" s="89"/>
    </row>
    <row r="52" spans="1:24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89"/>
      <c r="L52" s="40"/>
      <c r="M52" s="40"/>
      <c r="N52" s="89"/>
      <c r="O52" s="118"/>
      <c r="P52" s="90"/>
      <c r="Q52" s="90"/>
      <c r="R52" s="90"/>
      <c r="S52" s="90"/>
      <c r="T52" s="90"/>
      <c r="U52" s="40"/>
      <c r="V52" s="40"/>
      <c r="W52" s="40"/>
      <c r="X52" s="89"/>
    </row>
    <row r="53" spans="1:24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89"/>
      <c r="L53" s="40"/>
      <c r="M53" s="40"/>
      <c r="N53" s="89"/>
      <c r="O53" s="118"/>
      <c r="P53" s="90"/>
      <c r="Q53" s="90"/>
      <c r="R53" s="90"/>
      <c r="S53" s="90"/>
      <c r="T53" s="90"/>
      <c r="U53" s="40"/>
      <c r="V53" s="40"/>
      <c r="W53" s="40"/>
      <c r="X53" s="89"/>
    </row>
    <row r="54" spans="1:24" x14ac:dyDescent="0.2">
      <c r="A54" s="40" t="s">
        <v>14</v>
      </c>
      <c r="B54" s="40"/>
      <c r="C54" s="40"/>
      <c r="D54" s="40"/>
      <c r="E54" s="40"/>
      <c r="F54" s="40"/>
      <c r="G54" s="40"/>
      <c r="H54" s="40"/>
      <c r="I54" s="40"/>
      <c r="J54" s="40"/>
      <c r="K54" s="93"/>
      <c r="L54" s="40"/>
      <c r="M54" s="40"/>
      <c r="N54" s="89"/>
      <c r="O54" s="118"/>
      <c r="P54" s="90"/>
      <c r="Q54" s="90"/>
      <c r="R54" s="90"/>
      <c r="S54" s="90"/>
      <c r="T54" s="90"/>
      <c r="U54" s="40"/>
      <c r="V54" s="40"/>
      <c r="W54" s="40"/>
      <c r="X54" s="89"/>
    </row>
    <row r="55" spans="1:24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89"/>
      <c r="O55" s="118"/>
      <c r="P55" s="90"/>
      <c r="Q55" s="90"/>
      <c r="R55" s="90"/>
      <c r="S55" s="90"/>
      <c r="T55" s="90"/>
      <c r="U55" s="40"/>
      <c r="V55" s="40"/>
      <c r="W55" s="40"/>
      <c r="X55" s="89"/>
    </row>
    <row r="56" spans="1:24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89"/>
      <c r="O56" s="118"/>
      <c r="P56" s="90"/>
      <c r="Q56" s="90"/>
      <c r="R56" s="90"/>
      <c r="S56" s="90"/>
      <c r="T56" s="90"/>
      <c r="U56" s="40"/>
      <c r="V56" s="40"/>
      <c r="W56" s="40"/>
      <c r="X56" s="89"/>
    </row>
    <row r="57" spans="1:24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89"/>
      <c r="O57" s="118"/>
      <c r="P57" s="90"/>
      <c r="Q57" s="90"/>
      <c r="R57" s="90"/>
      <c r="S57" s="90"/>
      <c r="T57" s="90"/>
      <c r="U57" s="40"/>
      <c r="V57" s="40"/>
      <c r="W57" s="40"/>
      <c r="X57" s="89"/>
    </row>
    <row r="58" spans="1:24" x14ac:dyDescent="0.2">
      <c r="L58" s="40"/>
      <c r="M58" s="40"/>
      <c r="N58" s="89"/>
      <c r="O58" s="118"/>
      <c r="P58" s="90"/>
      <c r="Q58" s="90"/>
      <c r="R58" s="90"/>
      <c r="S58" s="90"/>
      <c r="T58" s="90"/>
    </row>
  </sheetData>
  <mergeCells count="12">
    <mergeCell ref="V10:W10"/>
    <mergeCell ref="I9:J9"/>
    <mergeCell ref="A7:D7"/>
    <mergeCell ref="H3:J3"/>
    <mergeCell ref="H4:J4"/>
    <mergeCell ref="I6:J6"/>
    <mergeCell ref="I7:J7"/>
    <mergeCell ref="A3:G3"/>
    <mergeCell ref="A4:G4"/>
    <mergeCell ref="A6:D6"/>
    <mergeCell ref="A8:H8"/>
    <mergeCell ref="G9:H9"/>
  </mergeCells>
  <phoneticPr fontId="0" type="noConversion"/>
  <conditionalFormatting sqref="A11:E41 G11:K41">
    <cfRule type="expression" dxfId="108" priority="52">
      <formula>$F11=2</formula>
    </cfRule>
    <cfRule type="expression" dxfId="107" priority="54">
      <formula>$F11=1</formula>
    </cfRule>
  </conditionalFormatting>
  <conditionalFormatting sqref="L11:L41">
    <cfRule type="expression" dxfId="106" priority="29">
      <formula>$F11=2</formula>
    </cfRule>
    <cfRule type="expression" dxfId="105" priority="31">
      <formula>$F11=1</formula>
    </cfRule>
  </conditionalFormatting>
  <conditionalFormatting sqref="W8">
    <cfRule type="containsText" dxfId="104" priority="27" operator="containsText" text="zu wenig!">
      <formula>NOT(ISERROR(SEARCH("zu wenig!",W8)))</formula>
    </cfRule>
    <cfRule type="containsText" dxfId="103" priority="28" operator="containsText" text="zu viel!">
      <formula>NOT(ISERROR(SEARCH("zu viel!",W8)))</formula>
    </cfRule>
  </conditionalFormatting>
  <conditionalFormatting sqref="W17">
    <cfRule type="containsText" dxfId="102" priority="25" operator="containsText" text="zu wenig!">
      <formula>NOT(ISERROR(SEARCH("zu wenig!",W17)))</formula>
    </cfRule>
    <cfRule type="containsText" dxfId="101" priority="26" operator="containsText" text="zu viel!">
      <formula>NOT(ISERROR(SEARCH("zu viel!",W17)))</formula>
    </cfRule>
  </conditionalFormatting>
  <conditionalFormatting sqref="V10:W17">
    <cfRule type="expression" dxfId="100" priority="24">
      <formula>$K$8=""</formula>
    </cfRule>
  </conditionalFormatting>
  <conditionalFormatting sqref="X10:X17">
    <cfRule type="expression" dxfId="99" priority="19">
      <formula>$K$8=""</formula>
    </cfRule>
  </conditionalFormatting>
  <conditionalFormatting sqref="S10:T48">
    <cfRule type="expression" dxfId="96" priority="6">
      <formula>$A$9=""</formula>
    </cfRule>
  </conditionalFormatting>
  <conditionalFormatting sqref="S11:T41">
    <cfRule type="expression" dxfId="95" priority="4">
      <formula>$F11=1</formula>
    </cfRule>
    <cfRule type="expression" dxfId="94" priority="5">
      <formula>$F11=2</formula>
    </cfRule>
  </conditionalFormatting>
  <conditionalFormatting sqref="S6:T49">
    <cfRule type="expression" dxfId="93" priority="3">
      <formula>$M$8=""</formula>
    </cfRule>
  </conditionalFormatting>
  <conditionalFormatting sqref="F11:F41">
    <cfRule type="expression" dxfId="11" priority="1">
      <formula>$F11=2</formula>
    </cfRule>
    <cfRule type="expression" dxfId="10" priority="2">
      <formula>$F11=1</formula>
    </cfRule>
  </conditionalFormatting>
  <pageMargins left="0.78749999999999998" right="0.78749999999999998" top="0.78125" bottom="1.0249999999999999" header="0.78749999999999998" footer="0.78749999999999998"/>
  <pageSetup paperSize="9" scale="96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13</vt:i4>
      </vt:variant>
    </vt:vector>
  </HeadingPairs>
  <TitlesOfParts>
    <vt:vector size="27" baseType="lpstr">
      <vt:lpstr>Uebersicht</vt:lpstr>
      <vt:lpstr>Jan</vt:lpstr>
      <vt:lpstr>Feb</vt:lpstr>
      <vt:lpstr>Mrz</vt:lpstr>
      <vt:lpstr>Apr</vt:lpstr>
      <vt:lpstr>Mai</vt:lpstr>
      <vt:lpstr>Jun</vt:lpstr>
      <vt:lpstr>Jul</vt:lpstr>
      <vt:lpstr>Aug</vt:lpstr>
      <vt:lpstr>Sep</vt:lpstr>
      <vt:lpstr>Okt</vt:lpstr>
      <vt:lpstr>Nov</vt:lpstr>
      <vt:lpstr>Dez</vt:lpstr>
      <vt:lpstr>X</vt:lpstr>
      <vt:lpstr>Apr!Druckbereich</vt:lpstr>
      <vt:lpstr>Aug!Druckbereich</vt:lpstr>
      <vt:lpstr>Dez!Druckbereich</vt:lpstr>
      <vt:lpstr>Feb!Druckbereich</vt:lpstr>
      <vt:lpstr>Jan!Druckbereich</vt:lpstr>
      <vt:lpstr>Jul!Druckbereich</vt:lpstr>
      <vt:lpstr>Jun!Druckbereich</vt:lpstr>
      <vt:lpstr>Mai!Druckbereich</vt:lpstr>
      <vt:lpstr>Mrz!Druckbereich</vt:lpstr>
      <vt:lpstr>Nov!Druckbereich</vt:lpstr>
      <vt:lpstr>Okt!Druckbereich</vt:lpstr>
      <vt:lpstr>Sep!Druckbereich</vt:lpstr>
      <vt:lpstr>Excel_BuiltIn_Print_Area_1</vt:lpstr>
    </vt:vector>
  </TitlesOfParts>
  <Company>Sp. z o.o.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Fiedler</dc:creator>
  <cp:lastModifiedBy>martinm</cp:lastModifiedBy>
  <cp:lastPrinted>2016-10-27T09:00:15Z</cp:lastPrinted>
  <dcterms:created xsi:type="dcterms:W3CDTF">2007-08-01T11:27:50Z</dcterms:created>
  <dcterms:modified xsi:type="dcterms:W3CDTF">2017-02-06T12:58:07Z</dcterms:modified>
</cp:coreProperties>
</file>